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gogolauri\Desktop\makro\"/>
    </mc:Choice>
  </mc:AlternateContent>
  <bookViews>
    <workbookView xWindow="0" yWindow="0" windowWidth="28800" windowHeight="12435"/>
  </bookViews>
  <sheets>
    <sheet name="მაკროეკონომიკური პროგნოზები" sheetId="3" r:id="rId1"/>
    <sheet name="Macro Data Input" sheetId="1" state="hidden" r:id="rId2"/>
    <sheet name="Calculations" sheetId="2" state="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'მაკროეკონომიკური პროგნოზები'!$A$1:$M$35</definedName>
    <definedName name="SelectedYear">'მაკროეკონომიკური პროგნოზები'!$K$2</definedName>
    <definedName name="Years">Calculations!$I$6</definedName>
  </definedNames>
  <calcPr calcId="152511"/>
</workbook>
</file>

<file path=xl/calcChain.xml><?xml version="1.0" encoding="utf-8"?>
<calcChain xmlns="http://schemas.openxmlformats.org/spreadsheetml/2006/main">
  <c r="B34" i="2" l="1"/>
  <c r="B35" i="2"/>
  <c r="B36" i="2"/>
  <c r="B37" i="2"/>
  <c r="B38" i="3" s="1"/>
  <c r="B38" i="2"/>
  <c r="B10" i="2" s="1"/>
  <c r="B39" i="2"/>
  <c r="B40" i="3" s="1"/>
  <c r="B40" i="2"/>
  <c r="B41" i="3" s="1"/>
  <c r="B41" i="2"/>
  <c r="B42" i="3" s="1"/>
  <c r="B42" i="2"/>
  <c r="B43" i="3" s="1"/>
  <c r="B43" i="2"/>
  <c r="B44" i="3" s="1"/>
  <c r="B44" i="2"/>
  <c r="B45" i="3" s="1"/>
  <c r="B45" i="2"/>
  <c r="B46" i="3" s="1"/>
  <c r="B46" i="2"/>
  <c r="B47" i="3" s="1"/>
  <c r="B47" i="2"/>
  <c r="B48" i="3" s="1"/>
  <c r="B48" i="2"/>
  <c r="B49" i="3" s="1"/>
  <c r="B49" i="2"/>
  <c r="B50" i="3" s="1"/>
  <c r="B50" i="2"/>
  <c r="B51" i="3" s="1"/>
  <c r="B51" i="2"/>
  <c r="B52" i="2"/>
  <c r="A52" i="2"/>
  <c r="B11" i="2" l="1"/>
  <c r="B39" i="3"/>
  <c r="A50" i="2"/>
  <c r="A51" i="2"/>
  <c r="A48" i="2"/>
  <c r="A49" i="2"/>
  <c r="D15" i="3"/>
  <c r="F15" i="3"/>
  <c r="B36" i="3"/>
  <c r="B37" i="3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C3" i="2"/>
  <c r="B33" i="2" l="1"/>
  <c r="B28" i="2" l="1"/>
  <c r="B29" i="2"/>
  <c r="B30" i="2"/>
  <c r="B31" i="2"/>
  <c r="B32" i="2"/>
  <c r="A10" i="2"/>
  <c r="A11" i="2"/>
  <c r="A29" i="2"/>
  <c r="A30" i="2"/>
  <c r="A31" i="2"/>
  <c r="A32" i="2"/>
  <c r="A33" i="2"/>
  <c r="A34" i="2"/>
  <c r="B15" i="2"/>
  <c r="B8" i="2" s="1"/>
  <c r="B16" i="2"/>
  <c r="B17" i="2"/>
  <c r="B9" i="2" s="1"/>
  <c r="A9" i="2" s="1"/>
  <c r="B18" i="2"/>
  <c r="B19" i="2"/>
  <c r="B20" i="2"/>
  <c r="B21" i="2"/>
  <c r="B12" i="2" s="1"/>
  <c r="A12" i="2" s="1"/>
  <c r="B22" i="2"/>
  <c r="B23" i="2"/>
  <c r="B24" i="2"/>
  <c r="B25" i="2"/>
  <c r="B26" i="2"/>
  <c r="B27" i="2"/>
  <c r="A28" i="2"/>
  <c r="A16" i="2"/>
  <c r="A17" i="2"/>
  <c r="A18" i="2"/>
  <c r="A19" i="2"/>
  <c r="A20" i="2"/>
  <c r="A21" i="2"/>
  <c r="A22" i="2"/>
  <c r="A23" i="2"/>
  <c r="A24" i="2"/>
  <c r="A25" i="2"/>
  <c r="A26" i="2"/>
  <c r="A27" i="2"/>
  <c r="A15" i="2"/>
  <c r="C4" i="2"/>
  <c r="D4" i="2" s="1"/>
  <c r="H7" i="3" l="1"/>
  <c r="F7" i="3"/>
  <c r="J7" i="3"/>
  <c r="B34" i="3"/>
  <c r="B29" i="3"/>
  <c r="B30" i="3"/>
  <c r="B19" i="3"/>
  <c r="B32" i="3"/>
  <c r="B21" i="3"/>
  <c r="B27" i="3"/>
  <c r="B20" i="3"/>
  <c r="B18" i="3"/>
  <c r="B25" i="3"/>
  <c r="B26" i="3"/>
  <c r="B17" i="3"/>
  <c r="B33" i="3"/>
  <c r="B24" i="3"/>
  <c r="B22" i="3"/>
  <c r="B35" i="3"/>
  <c r="B31" i="3"/>
  <c r="B23" i="3"/>
  <c r="B28" i="3"/>
  <c r="B16" i="3"/>
  <c r="D3" i="2"/>
  <c r="B7" i="3"/>
  <c r="A8" i="2"/>
  <c r="D7" i="3"/>
  <c r="G7" i="2"/>
  <c r="G6" i="2" s="1"/>
  <c r="G34" i="2" l="1"/>
  <c r="G38" i="2"/>
  <c r="D39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G36" i="2"/>
  <c r="D37" i="3" s="1"/>
  <c r="G40" i="2"/>
  <c r="D41" i="3" s="1"/>
  <c r="G44" i="2"/>
  <c r="D45" i="3" s="1"/>
  <c r="G48" i="2"/>
  <c r="D49" i="3" s="1"/>
  <c r="G52" i="2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G17" i="2"/>
  <c r="G31" i="2"/>
  <c r="G19" i="2"/>
  <c r="G23" i="2"/>
  <c r="G27" i="2"/>
  <c r="G32" i="2"/>
  <c r="G16" i="2"/>
  <c r="G20" i="2"/>
  <c r="G24" i="2"/>
  <c r="G28" i="2"/>
  <c r="G29" i="2"/>
  <c r="G33" i="2"/>
  <c r="G21" i="2"/>
  <c r="G25" i="2"/>
  <c r="G30" i="2"/>
  <c r="G22" i="2"/>
  <c r="G26" i="2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36" i="2" l="1"/>
  <c r="E40" i="2"/>
  <c r="E44" i="2"/>
  <c r="E52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H36" i="3" s="1"/>
  <c r="F39" i="2"/>
  <c r="F43" i="2"/>
  <c r="F47" i="2"/>
  <c r="F48" i="3" s="1"/>
  <c r="F36" i="2"/>
  <c r="F37" i="3" s="1"/>
  <c r="F40" i="2"/>
  <c r="F44" i="2"/>
  <c r="F48" i="2"/>
  <c r="F49" i="3" s="1"/>
  <c r="H49" i="3" s="1"/>
  <c r="F52" i="2"/>
  <c r="F37" i="2"/>
  <c r="F41" i="2"/>
  <c r="F45" i="2"/>
  <c r="F46" i="3" s="1"/>
  <c r="H46" i="3" s="1"/>
  <c r="F49" i="2"/>
  <c r="F34" i="2"/>
  <c r="F38" i="2"/>
  <c r="F42" i="2"/>
  <c r="F43" i="3" s="1"/>
  <c r="H43" i="3" s="1"/>
  <c r="F46" i="2"/>
  <c r="F50" i="2"/>
  <c r="F51" i="2"/>
  <c r="F15" i="2"/>
  <c r="E15" i="2"/>
  <c r="F20" i="2"/>
  <c r="F22" i="2"/>
  <c r="F31" i="2"/>
  <c r="F17" i="2"/>
  <c r="F21" i="2"/>
  <c r="F25" i="2"/>
  <c r="F30" i="2"/>
  <c r="F19" i="2"/>
  <c r="F23" i="2"/>
  <c r="F27" i="2"/>
  <c r="F32" i="2"/>
  <c r="F16" i="2"/>
  <c r="F24" i="2"/>
  <c r="F28" i="2"/>
  <c r="F29" i="2"/>
  <c r="F33" i="2"/>
  <c r="F18" i="2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47" i="3" l="1"/>
  <c r="F42" i="3"/>
  <c r="F50" i="3"/>
  <c r="H50" i="3" s="1"/>
  <c r="F39" i="3"/>
  <c r="F45" i="3"/>
  <c r="H45" i="3" s="1"/>
  <c r="F44" i="3"/>
  <c r="H44" i="3" s="1"/>
  <c r="F51" i="3"/>
  <c r="F38" i="3"/>
  <c r="F41" i="3"/>
  <c r="F4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52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52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D21" i="3" l="1"/>
  <c r="D33" i="3"/>
  <c r="D31" i="3"/>
  <c r="D34" i="3"/>
  <c r="D23" i="3"/>
  <c r="D25" i="3"/>
  <c r="D28" i="3"/>
  <c r="D32" i="3"/>
  <c r="D26" i="3"/>
  <c r="D30" i="3"/>
  <c r="D29" i="3"/>
  <c r="D16" i="3"/>
  <c r="D27" i="3"/>
  <c r="D17" i="3"/>
  <c r="D24" i="3"/>
  <c r="F33" i="3"/>
  <c r="D19" i="3"/>
  <c r="D22" i="3"/>
  <c r="F24" i="3"/>
  <c r="D20" i="3"/>
  <c r="F20" i="3"/>
  <c r="D18" i="3"/>
  <c r="F18" i="3"/>
  <c r="D35" i="3"/>
  <c r="F35" i="3"/>
  <c r="H35" i="3" l="1"/>
  <c r="H33" i="3"/>
  <c r="H24" i="3"/>
  <c r="F23" i="3"/>
  <c r="H23" i="3" s="1"/>
  <c r="F34" i="3"/>
  <c r="H34" i="3" s="1"/>
  <c r="F28" i="3"/>
  <c r="H28" i="3" s="1"/>
  <c r="F31" i="3"/>
  <c r="H31" i="3" s="1"/>
  <c r="F25" i="3"/>
  <c r="H25" i="3" s="1"/>
  <c r="F29" i="3"/>
  <c r="H29" i="3" s="1"/>
  <c r="F30" i="3"/>
  <c r="H30" i="3" s="1"/>
  <c r="F32" i="3"/>
  <c r="H32" i="3" s="1"/>
  <c r="F27" i="3"/>
  <c r="H27" i="3" s="1"/>
  <c r="F26" i="3"/>
  <c r="H26" i="3" s="1"/>
  <c r="F21" i="3"/>
  <c r="H21" i="3" s="1"/>
  <c r="F17" i="3"/>
  <c r="F16" i="3"/>
  <c r="F22" i="3"/>
  <c r="H22" i="3" s="1"/>
  <c r="F19" i="3"/>
  <c r="H19" i="3" s="1"/>
  <c r="H20" i="3"/>
</calcChain>
</file>

<file path=xl/sharedStrings.xml><?xml version="1.0" encoding="utf-8"?>
<sst xmlns="http://schemas.openxmlformats.org/spreadsheetml/2006/main" count="52" uniqueCount="49">
  <si>
    <t>METRIC NAME</t>
  </si>
  <si>
    <t>Position</t>
  </si>
  <si>
    <t>This year</t>
  </si>
  <si>
    <t>Previous Year</t>
  </si>
  <si>
    <t>Key Metrics</t>
  </si>
  <si>
    <t>All Metrics (works up to 25 metrics)</t>
  </si>
  <si>
    <t>რეალური მთლიანი შიდა პროდუქტი</t>
  </si>
  <si>
    <t>სამომხმარებლო ფასების ინფლაცია</t>
  </si>
  <si>
    <t>მშპ-ს დეფლატორი</t>
  </si>
  <si>
    <t>აბსორბცია</t>
  </si>
  <si>
    <t>მოხმარება</t>
  </si>
  <si>
    <t>კერძო</t>
  </si>
  <si>
    <t>სახელმწიფო</t>
  </si>
  <si>
    <t>ინვესტიციები</t>
  </si>
  <si>
    <t>შემოსავლები და გრანტები</t>
  </si>
  <si>
    <t>საგადასახადო შემოსავლები</t>
  </si>
  <si>
    <t>პირდაპირი გადასახადები</t>
  </si>
  <si>
    <t>არაპირდაპირი გადასახადები</t>
  </si>
  <si>
    <t>ხარჯები და არაფინანსური აქტივების ზრდა</t>
  </si>
  <si>
    <t>მიმდინარე ხარჯები</t>
  </si>
  <si>
    <t>კაპიტალური ხარჯები</t>
  </si>
  <si>
    <t>წმინდა უცხოური აქტივები</t>
  </si>
  <si>
    <t>წმინდა საშინაო აქტივები</t>
  </si>
  <si>
    <t>ფართო ფული M3</t>
  </si>
  <si>
    <t>ფართო ფული M2</t>
  </si>
  <si>
    <t>ოფიციალური საერთაშორისო რეზერვები (მლნ აშშ დოლარი)</t>
  </si>
  <si>
    <t>იმპორტის ჯერადი</t>
  </si>
  <si>
    <t>აირჩიეთ წელი</t>
  </si>
  <si>
    <t>პარლამენტის საბიუჯეტო ოფისი</t>
  </si>
  <si>
    <t>ძირითადი ინდიკატორები</t>
  </si>
  <si>
    <t>ინდიკატორები</t>
  </si>
  <si>
    <t>მაკროეკონომიკური პროგნოზები</t>
  </si>
  <si>
    <t>მშპ ერთ სულ მოსახლეზე დოლარი</t>
  </si>
  <si>
    <t>მშპ ერთ სულ მოსახლეზე ლარი</t>
  </si>
  <si>
    <t>ფულის მიმოქცევის სიჩქარე M3</t>
  </si>
  <si>
    <t>ფულის მიმოქცევის სიჩქარე M2</t>
  </si>
  <si>
    <t>საქონლისა და მომსახურების ექსპორტი</t>
  </si>
  <si>
    <t xml:space="preserve">საქონლისა და მომსახურების იმპორტი </t>
  </si>
  <si>
    <t>მიმდინარე ანგარიშის ბალანსი (% მშპ-თან)</t>
  </si>
  <si>
    <t>ნომინალური მშპ მლნ ლარი</t>
  </si>
  <si>
    <t>ნომინალური მშპ მლნ აშშ დოლარი</t>
  </si>
  <si>
    <t>საოპერაციო სალდო (% მშპ-თან)</t>
  </si>
  <si>
    <t>მთლიანი სალდო (% მშპ-თან)</t>
  </si>
  <si>
    <t>ფისკალური ბალანსი (% მშპ-თან)</t>
  </si>
  <si>
    <t>სახელმწიფო ვალი (% მშპ-თან)</t>
  </si>
  <si>
    <t>საგარეო (% მშპ-თან)</t>
  </si>
  <si>
    <t>საშინაო (% მშპ-თან)</t>
  </si>
  <si>
    <t>ზრდის ტემპი (%)</t>
  </si>
  <si>
    <t>მაკროეკონომიკური ანალიზისა და საგადასახადო პოლიტიკის განყოფილება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</si>
</sst>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0.0%"/>
  </numFmts>
  <fonts count="24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11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4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4" fontId="0" fillId="0" borderId="0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Border="1" applyAlignment="1" applyProtection="1">
      <alignment horizontal="right" vertical="center" indent="1"/>
      <protection locked="0"/>
    </xf>
    <xf numFmtId="165" fontId="0" fillId="0" borderId="0" xfId="1" applyNumberFormat="1" applyFont="1" applyBorder="1" applyAlignment="1" applyProtection="1">
      <alignment horizontal="right" vertical="center"/>
      <protection locked="0"/>
    </xf>
    <xf numFmtId="165" fontId="0" fillId="0" borderId="0" xfId="1" applyNumberFormat="1" applyFont="1" applyBorder="1" applyAlignment="1" applyProtection="1">
      <alignment horizontal="right" vertical="center" indent="1"/>
      <protection locked="0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165" fontId="0" fillId="0" borderId="15" xfId="1" applyNumberFormat="1" applyFont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165" fontId="0" fillId="0" borderId="14" xfId="1" applyNumberFormat="1" applyFont="1" applyFill="1" applyBorder="1" applyAlignment="1">
      <alignment vertical="center"/>
    </xf>
    <xf numFmtId="164" fontId="0" fillId="0" borderId="14" xfId="0" applyNumberFormat="1" applyFill="1" applyBorder="1" applyAlignment="1">
      <alignment vertical="center"/>
    </xf>
    <xf numFmtId="164" fontId="0" fillId="0" borderId="13" xfId="0" applyNumberForma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6" borderId="1" xfId="11" applyFont="1" applyFill="1" applyBorder="1" applyAlignment="1" applyProtection="1">
      <alignment horizontal="left" vertical="center" indent="1"/>
      <protection locked="0"/>
    </xf>
    <xf numFmtId="0" fontId="4" fillId="6" borderId="1" xfId="11" applyFont="1" applyFill="1" applyBorder="1" applyAlignment="1" applyProtection="1">
      <alignment vertical="center"/>
      <protection locked="0"/>
    </xf>
    <xf numFmtId="0" fontId="4" fillId="6" borderId="1" xfId="11" applyFont="1" applyFill="1" applyBorder="1" applyAlignment="1" applyProtection="1">
      <alignment horizontal="right" vertical="center" indent="1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2" fontId="0" fillId="0" borderId="0" xfId="1" applyNumberFormat="1" applyFont="1" applyBorder="1" applyAlignment="1" applyProtection="1">
      <alignment horizontal="right" vertical="center"/>
      <protection locked="0"/>
    </xf>
    <xf numFmtId="2" fontId="0" fillId="0" borderId="0" xfId="1" applyNumberFormat="1" applyFont="1" applyBorder="1" applyAlignment="1" applyProtection="1">
      <alignment horizontal="right" vertical="center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3" borderId="23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0" fontId="0" fillId="0" borderId="14" xfId="0" applyFill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14" xfId="0" applyFill="1" applyBorder="1" applyAlignment="1">
      <alignment horizontal="left" vertical="center" wrapText="1" indent="1"/>
    </xf>
    <xf numFmtId="2" fontId="0" fillId="0" borderId="14" xfId="1" applyNumberFormat="1" applyFont="1" applyFill="1" applyBorder="1" applyAlignment="1">
      <alignment vertical="center"/>
    </xf>
    <xf numFmtId="2" fontId="0" fillId="0" borderId="13" xfId="1" applyNumberFormat="1" applyFont="1" applyFill="1" applyBorder="1" applyAlignment="1">
      <alignment vertical="center"/>
    </xf>
    <xf numFmtId="164" fontId="0" fillId="0" borderId="14" xfId="1" applyNumberFormat="1" applyFont="1" applyFill="1" applyBorder="1" applyAlignment="1">
      <alignment vertical="center"/>
    </xf>
    <xf numFmtId="164" fontId="0" fillId="0" borderId="13" xfId="1" applyNumberFormat="1" applyFont="1" applyFill="1" applyBorder="1" applyAlignment="1">
      <alignment vertical="center"/>
    </xf>
    <xf numFmtId="165" fontId="0" fillId="0" borderId="15" xfId="1" applyNumberFormat="1" applyFont="1" applyBorder="1" applyAlignment="1" applyProtection="1">
      <alignment horizontal="right" vertical="center" indent="1"/>
      <protection locked="0"/>
    </xf>
    <xf numFmtId="164" fontId="0" fillId="0" borderId="0" xfId="1" applyNumberFormat="1" applyFont="1" applyBorder="1" applyAlignment="1" applyProtection="1">
      <alignment horizontal="right" vertical="center"/>
      <protection locked="0"/>
    </xf>
    <xf numFmtId="164" fontId="0" fillId="0" borderId="0" xfId="1" applyNumberFormat="1" applyFont="1" applyBorder="1" applyAlignment="1" applyProtection="1">
      <alignment horizontal="right" vertical="center" indent="1"/>
      <protection locked="0"/>
    </xf>
    <xf numFmtId="10" fontId="0" fillId="0" borderId="0" xfId="1" applyNumberFormat="1" applyFont="1" applyAlignment="1">
      <alignment vertical="center"/>
    </xf>
    <xf numFmtId="164" fontId="0" fillId="0" borderId="0" xfId="0" applyNumberFormat="1">
      <alignment vertical="center"/>
    </xf>
    <xf numFmtId="0" fontId="0" fillId="0" borderId="14" xfId="0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0" fillId="0" borderId="16" xfId="1" applyNumberFormat="1" applyFont="1" applyBorder="1" applyAlignment="1" applyProtection="1">
      <alignment horizontal="right" vertical="center"/>
      <protection locked="0"/>
    </xf>
    <xf numFmtId="2" fontId="0" fillId="0" borderId="16" xfId="1" applyNumberFormat="1" applyFont="1" applyBorder="1" applyAlignment="1" applyProtection="1">
      <alignment horizontal="right" vertical="center" indent="1"/>
      <protection locked="0"/>
    </xf>
    <xf numFmtId="2" fontId="0" fillId="0" borderId="0" xfId="1" applyNumberFormat="1" applyFont="1" applyAlignment="1">
      <alignment vertical="center"/>
    </xf>
    <xf numFmtId="0" fontId="22" fillId="0" borderId="14" xfId="0" applyFont="1" applyFill="1" applyBorder="1" applyAlignment="1">
      <alignment horizontal="left" vertical="center" indent="1"/>
    </xf>
    <xf numFmtId="0" fontId="22" fillId="0" borderId="14" xfId="0" applyFont="1" applyFill="1" applyBorder="1" applyAlignment="1">
      <alignment vertical="center"/>
    </xf>
    <xf numFmtId="2" fontId="22" fillId="0" borderId="14" xfId="1" applyNumberFormat="1" applyFont="1" applyFill="1" applyBorder="1" applyAlignment="1">
      <alignment vertical="center"/>
    </xf>
    <xf numFmtId="2" fontId="22" fillId="0" borderId="13" xfId="1" applyNumberFormat="1" applyFont="1" applyFill="1" applyBorder="1" applyAlignment="1">
      <alignment vertical="center"/>
    </xf>
    <xf numFmtId="165" fontId="22" fillId="0" borderId="14" xfId="1" applyNumberFormat="1" applyFont="1" applyFill="1" applyBorder="1" applyAlignment="1">
      <alignment horizontal="center"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0" fillId="0" borderId="14" xfId="0" applyFill="1" applyBorder="1" applyAlignment="1">
      <alignment horizontal="left" vertical="center" indent="3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12"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1" headerRowCount="0" totalsRowShown="0" headerRowDxfId="9" tableBorderDxfId="8">
  <tableColumns count="8">
    <tableColumn id="1" name="Column1" headerRowDxfId="7"/>
    <tableColumn id="2" name="Column2" headerRowDxfId="6"/>
    <tableColumn id="3" name="Column3" headerRowDxfId="5"/>
    <tableColumn id="4" name="Column4" headerRowDxfId="4"/>
    <tableColumn id="5" name="Column5" headerRowDxfId="3"/>
    <tableColumn id="6" name="Column6" headerRowDxfId="2"/>
    <tableColumn id="7" name="Column7" headerRowDxfId="1"/>
    <tableColumn id="10" name="Column10" header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1"/>
  <sheetViews>
    <sheetView showGridLines="0" tabSelected="1" zoomScaleNormal="100" workbookViewId="0">
      <selection activeCell="H37" sqref="H37"/>
    </sheetView>
  </sheetViews>
  <sheetFormatPr defaultRowHeight="18.75" customHeight="1" x14ac:dyDescent="0.3"/>
  <cols>
    <col min="1" max="1" width="3.5703125" customWidth="1"/>
    <col min="2" max="2" width="30.85546875" customWidth="1"/>
    <col min="3" max="3" width="3.85546875" customWidth="1"/>
    <col min="4" max="4" width="29" customWidth="1"/>
    <col min="5" max="5" width="2.7109375" customWidth="1"/>
    <col min="6" max="6" width="26.42578125" customWidth="1"/>
    <col min="7" max="7" width="2.7109375" customWidth="1"/>
    <col min="8" max="8" width="26.42578125" customWidth="1"/>
    <col min="9" max="9" width="7.140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7.85546875" customWidth="1"/>
    <col min="15" max="15" width="10.140625" customWidth="1"/>
    <col min="16" max="18" width="11.42578125"/>
  </cols>
  <sheetData>
    <row r="1" spans="2:14" ht="8.25" customHeight="1" thickBot="1" x14ac:dyDescent="0.3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4" ht="38.25" customHeight="1" thickBot="1" x14ac:dyDescent="0.5">
      <c r="B2" s="45" t="s">
        <v>31</v>
      </c>
      <c r="C2" s="18"/>
      <c r="D2" s="18"/>
      <c r="E2" s="18"/>
      <c r="F2" s="18"/>
      <c r="G2" s="18"/>
      <c r="H2" s="18"/>
      <c r="I2" s="18"/>
      <c r="J2" s="19"/>
      <c r="K2" s="98">
        <v>2016</v>
      </c>
      <c r="L2" s="98"/>
      <c r="N2" s="68" t="s">
        <v>27</v>
      </c>
    </row>
    <row r="3" spans="2:14" ht="26.25" customHeight="1" x14ac:dyDescent="0.3">
      <c r="B3" s="56" t="s">
        <v>28</v>
      </c>
      <c r="C3" s="18"/>
      <c r="D3" s="18"/>
      <c r="E3" s="18"/>
      <c r="F3" s="18"/>
      <c r="G3" s="18"/>
      <c r="H3" s="18"/>
      <c r="I3" s="18"/>
      <c r="J3" s="18"/>
      <c r="K3" s="18"/>
      <c r="L3" s="18"/>
      <c r="N3" s="67"/>
    </row>
    <row r="4" spans="2:14" ht="24.75" customHeight="1" thickBot="1" x14ac:dyDescent="0.35">
      <c r="B4" s="96" t="s">
        <v>48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4" ht="24" customHeight="1" thickBot="1" x14ac:dyDescent="0.35">
      <c r="B5" s="20" t="s">
        <v>29</v>
      </c>
      <c r="C5" s="20"/>
      <c r="D5" s="55"/>
      <c r="E5" s="20"/>
      <c r="F5" s="20"/>
      <c r="G5" s="20"/>
      <c r="H5" s="20"/>
      <c r="I5" s="20"/>
      <c r="J5" s="20"/>
      <c r="K5" s="20"/>
      <c r="L5" s="20"/>
    </row>
    <row r="6" spans="2:14" s="9" customFormat="1" ht="18.75" customHeight="1" x14ac:dyDescent="0.3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2:14" ht="47.25" customHeight="1" x14ac:dyDescent="0.25">
      <c r="B7" s="66" t="str">
        <f>Calculations!B8</f>
        <v>რეალური მთლიანი შიდა პროდუქტი</v>
      </c>
      <c r="C7" s="22"/>
      <c r="D7" s="66" t="str">
        <f>Calculations!B9</f>
        <v>მშპ-ს დეფლატორი</v>
      </c>
      <c r="E7" s="22"/>
      <c r="F7" s="83" t="str">
        <f>Calculations!B10</f>
        <v>ფისკალური ბალანსი (% მშპ-თან)</v>
      </c>
      <c r="G7" s="22"/>
      <c r="H7" s="84" t="str">
        <f>Calculations!B11</f>
        <v>მიმდინარე ანგარიშის ბალანსი (% მშპ-თან)</v>
      </c>
      <c r="I7" s="22"/>
      <c r="J7" s="108" t="str">
        <f>Calculations!B12</f>
        <v>მშპ ერთ სულ მოსახლეზე დოლარი</v>
      </c>
      <c r="K7" s="108"/>
      <c r="L7" s="108"/>
      <c r="M7" s="8"/>
    </row>
    <row r="8" spans="2:14" ht="42" customHeight="1" x14ac:dyDescent="0.3">
      <c r="B8" s="44">
        <f ca="1">IFERROR(Calculations!G8,"")</f>
        <v>3.4925977816220088E-2</v>
      </c>
      <c r="C8" s="23"/>
      <c r="D8" s="44">
        <f ca="1">IFERROR(Calculations!G9,"")</f>
        <v>6.1396031303982301E-2</v>
      </c>
      <c r="E8" s="18"/>
      <c r="F8" s="44">
        <f ca="1">IFERROR(Calculations!G10,"")</f>
        <v>-3.1074910591508367E-2</v>
      </c>
      <c r="G8" s="18"/>
      <c r="H8" s="44">
        <f ca="1">IFERROR(Calculations!G11,"")</f>
        <v>-8.9848604434563578E-2</v>
      </c>
      <c r="I8" s="24"/>
      <c r="J8" s="102">
        <f ca="1">IFERROR(Calculations!G12,"")</f>
        <v>3915.4805105417199</v>
      </c>
      <c r="K8" s="103"/>
      <c r="L8" s="104"/>
    </row>
    <row r="9" spans="2:14" s="4" customFormat="1" ht="18.75" customHeight="1" x14ac:dyDescent="0.3">
      <c r="B9" s="94"/>
      <c r="C9" s="25"/>
      <c r="D9" s="93"/>
      <c r="E9" s="26"/>
      <c r="F9" s="93"/>
      <c r="G9" s="26"/>
      <c r="H9" s="93"/>
      <c r="I9" s="27"/>
      <c r="J9" s="99"/>
      <c r="K9" s="100"/>
      <c r="L9" s="101"/>
      <c r="M9" s="5"/>
    </row>
    <row r="10" spans="2:14" ht="18.75" customHeight="1" x14ac:dyDescent="0.3">
      <c r="B10" s="28"/>
      <c r="C10" s="29"/>
      <c r="D10" s="28"/>
      <c r="E10" s="29"/>
      <c r="F10" s="28"/>
      <c r="G10" s="29"/>
      <c r="H10" s="30"/>
      <c r="I10" s="37"/>
      <c r="J10" s="105"/>
      <c r="K10" s="106"/>
      <c r="L10" s="107"/>
      <c r="M10" s="6"/>
    </row>
    <row r="11" spans="2:14" ht="18.75" customHeight="1" thickBot="1" x14ac:dyDescent="0.35">
      <c r="B11" s="31"/>
      <c r="C11" s="18"/>
      <c r="D11" s="31"/>
      <c r="E11" s="18"/>
      <c r="F11" s="31"/>
      <c r="G11" s="18"/>
      <c r="H11" s="31"/>
      <c r="I11" s="18"/>
      <c r="J11" s="32"/>
      <c r="K11" s="33"/>
      <c r="L11" s="34"/>
    </row>
    <row r="12" spans="2:14" ht="18.75" customHeight="1" thickBot="1" x14ac:dyDescent="0.3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2:14" ht="15" customHeight="1" thickBot="1" x14ac:dyDescent="0.35">
      <c r="B13" s="35"/>
      <c r="C13" s="35"/>
      <c r="D13" s="55"/>
      <c r="E13" s="55"/>
      <c r="F13" s="55"/>
      <c r="G13" s="55"/>
      <c r="H13" s="55"/>
      <c r="I13" s="35"/>
      <c r="J13" s="35"/>
      <c r="K13" s="35"/>
      <c r="L13" s="35"/>
    </row>
    <row r="15" spans="2:14" ht="18.75" customHeight="1" x14ac:dyDescent="0.3">
      <c r="B15" s="47" t="s">
        <v>30</v>
      </c>
      <c r="C15" s="48"/>
      <c r="D15" s="49" t="str">
        <f>"არჩეული წელი ("&amp;SelectedYear&amp;")"</f>
        <v>არჩეული წელი (2016)</v>
      </c>
      <c r="E15" s="48"/>
      <c r="F15" s="49" t="str">
        <f>"წინა წელი ("&amp;SelectedYear-1&amp;")"</f>
        <v>წინა წელი (2015)</v>
      </c>
      <c r="G15" s="48"/>
      <c r="H15" s="50" t="s">
        <v>47</v>
      </c>
      <c r="I15" s="109" t="str">
        <f ca="1">CONCATENATE(Years," წლის ტრენდი")</f>
        <v>4 წლის ტრენდი</v>
      </c>
      <c r="J15" s="109"/>
      <c r="K15" s="109"/>
      <c r="L15" s="109"/>
    </row>
    <row r="16" spans="2:14" ht="18.75" customHeight="1" x14ac:dyDescent="0.3">
      <c r="B16" s="13" t="str">
        <f>Calculations!B15</f>
        <v>რეალური მთლიანი შიდა პროდუქტი</v>
      </c>
      <c r="C16" s="38"/>
      <c r="D16" s="51">
        <f ca="1">IF($B16="","",Calculations!G15)</f>
        <v>3.4925977816220088E-2</v>
      </c>
      <c r="E16" s="51"/>
      <c r="F16" s="51">
        <f ca="1">IF($B16="","",Calculations!F15)</f>
        <v>0.03</v>
      </c>
      <c r="G16" s="38"/>
      <c r="H16" s="57"/>
      <c r="I16" s="110"/>
      <c r="J16" s="110"/>
      <c r="K16" s="110"/>
      <c r="L16" s="110"/>
    </row>
    <row r="17" spans="2:12" ht="18.75" customHeight="1" x14ac:dyDescent="0.3">
      <c r="B17" s="14" t="str">
        <f>Calculations!B16</f>
        <v>სამომხმარებლო ფასების ინფლაცია</v>
      </c>
      <c r="C17" s="36"/>
      <c r="D17" s="52">
        <f ca="1">IF($B17="","",Calculations!G16)</f>
        <v>5.1715151312750951E-2</v>
      </c>
      <c r="E17" s="52"/>
      <c r="F17" s="51">
        <f ca="1">IF($B17="","",Calculations!F16)</f>
        <v>4.0035773260675311E-2</v>
      </c>
      <c r="G17" s="36"/>
      <c r="H17" s="58"/>
      <c r="I17" s="97"/>
      <c r="J17" s="97"/>
      <c r="K17" s="97"/>
      <c r="L17" s="97"/>
    </row>
    <row r="18" spans="2:12" ht="18.75" customHeight="1" x14ac:dyDescent="0.3">
      <c r="B18" s="14" t="str">
        <f>Calculations!B17</f>
        <v>მშპ-ს დეფლატორი</v>
      </c>
      <c r="C18" s="36"/>
      <c r="D18" s="52">
        <f ca="1">IF($B18="","",Calculations!G17)</f>
        <v>6.1396031303982301E-2</v>
      </c>
      <c r="E18" s="52"/>
      <c r="F18" s="51">
        <f ca="1">IF($B18="","",Calculations!F17)</f>
        <v>6.0791609573638716E-2</v>
      </c>
      <c r="G18" s="36"/>
      <c r="H18" s="58"/>
      <c r="I18" s="97"/>
      <c r="J18" s="97"/>
      <c r="K18" s="97"/>
      <c r="L18" s="97"/>
    </row>
    <row r="19" spans="2:12" ht="18.75" customHeight="1" x14ac:dyDescent="0.3">
      <c r="B19" s="14" t="str">
        <f>Calculations!B18</f>
        <v>ნომინალური მშპ მლნ ლარი</v>
      </c>
      <c r="C19" s="36"/>
      <c r="D19" s="53">
        <f ca="1">IF($B19="","",Calculations!G18)</f>
        <v>35015.636163966294</v>
      </c>
      <c r="E19" s="53"/>
      <c r="F19" s="54">
        <f ca="1">IF($B19="","",Calculations!F18)</f>
        <v>31876.671272195799</v>
      </c>
      <c r="G19" s="36"/>
      <c r="H19" s="58">
        <f t="shared" ref="H19:H20" ca="1" si="0">IFERROR(D19/F19-1,"")</f>
        <v>9.8472166838462716E-2</v>
      </c>
      <c r="I19" s="97"/>
      <c r="J19" s="97"/>
      <c r="K19" s="97"/>
      <c r="L19" s="97"/>
    </row>
    <row r="20" spans="2:12" ht="18.75" customHeight="1" x14ac:dyDescent="0.3">
      <c r="B20" s="14" t="str">
        <f>Calculations!B19</f>
        <v>ნომინალური მშპ მლნ აშშ დოლარი</v>
      </c>
      <c r="C20" s="36"/>
      <c r="D20" s="53">
        <f ca="1">IF($B20="","",Calculations!G19)</f>
        <v>14602.784564065343</v>
      </c>
      <c r="E20" s="53"/>
      <c r="F20" s="54">
        <f ca="1">IF($B20="","",Calculations!F19)</f>
        <v>14047.921102441313</v>
      </c>
      <c r="G20" s="36"/>
      <c r="H20" s="58">
        <f t="shared" ca="1" si="0"/>
        <v>3.9497905603100403E-2</v>
      </c>
      <c r="I20" s="97"/>
      <c r="J20" s="97"/>
      <c r="K20" s="97"/>
      <c r="L20" s="97"/>
    </row>
    <row r="21" spans="2:12" ht="18.75" customHeight="1" x14ac:dyDescent="0.3">
      <c r="B21" s="14" t="str">
        <f>Calculations!B20</f>
        <v>მშპ ერთ სულ მოსახლეზე ლარი</v>
      </c>
      <c r="C21" s="36"/>
      <c r="D21" s="75">
        <f ca="1">IF($B21="","",Calculations!G20)</f>
        <v>9388.8285732581571</v>
      </c>
      <c r="E21" s="75"/>
      <c r="F21" s="76">
        <f ca="1">IF($B21="","",Calculations!F20)</f>
        <v>8547.1702030287706</v>
      </c>
      <c r="G21" s="36"/>
      <c r="H21" s="58">
        <f t="shared" ref="H21:H36" ca="1" si="1">IFERROR(D21/F21-1,"")</f>
        <v>9.8472166838462716E-2</v>
      </c>
      <c r="I21" s="97"/>
      <c r="J21" s="97"/>
      <c r="K21" s="97"/>
      <c r="L21" s="97"/>
    </row>
    <row r="22" spans="2:12" ht="18.75" customHeight="1" x14ac:dyDescent="0.3">
      <c r="B22" s="14" t="str">
        <f>Calculations!B21</f>
        <v>მშპ ერთ სულ მოსახლეზე დოლარი</v>
      </c>
      <c r="C22" s="36"/>
      <c r="D22" s="75">
        <f ca="1">IF($B22="","",Calculations!G21)</f>
        <v>3915.4805105417199</v>
      </c>
      <c r="E22" s="75"/>
      <c r="F22" s="76">
        <f ca="1">IF($B22="","",Calculations!F21)</f>
        <v>3766.7036070361478</v>
      </c>
      <c r="G22" s="36"/>
      <c r="H22" s="58">
        <f t="shared" ca="1" si="1"/>
        <v>3.9497905603100625E-2</v>
      </c>
      <c r="I22" s="97"/>
      <c r="J22" s="97"/>
      <c r="K22" s="97"/>
      <c r="L22" s="97"/>
    </row>
    <row r="23" spans="2:12" ht="18.75" customHeight="1" x14ac:dyDescent="0.3">
      <c r="B23" s="14" t="str">
        <f>Calculations!B22</f>
        <v>აბსორბცია</v>
      </c>
      <c r="C23" s="36"/>
      <c r="D23" s="73">
        <f ca="1">IF($B23="","",Calculations!G22)</f>
        <v>40263.680422921338</v>
      </c>
      <c r="E23" s="73"/>
      <c r="F23" s="74">
        <f ca="1">IF($B23="","",Calculations!F22)</f>
        <v>37802.385188586457</v>
      </c>
      <c r="G23" s="36"/>
      <c r="H23" s="58">
        <f t="shared" ca="1" si="1"/>
        <v>6.5109522112324569E-2</v>
      </c>
      <c r="I23" s="97"/>
      <c r="J23" s="97"/>
      <c r="K23" s="97"/>
      <c r="L23" s="97"/>
    </row>
    <row r="24" spans="2:12" ht="18.75" customHeight="1" x14ac:dyDescent="0.3">
      <c r="B24" s="88" t="str">
        <f>Calculations!B23</f>
        <v>მოხმარება</v>
      </c>
      <c r="C24" s="89"/>
      <c r="D24" s="90">
        <f ca="1">IF($B24="","",Calculations!G23)</f>
        <v>29798.488010372137</v>
      </c>
      <c r="E24" s="90"/>
      <c r="F24" s="91">
        <f ca="1">IF($B24="","",Calculations!F23)</f>
        <v>27849.088764131142</v>
      </c>
      <c r="G24" s="89"/>
      <c r="H24" s="92">
        <f t="shared" ca="1" si="1"/>
        <v>6.9998672586794486E-2</v>
      </c>
      <c r="I24" s="97"/>
      <c r="J24" s="97"/>
      <c r="K24" s="97"/>
      <c r="L24" s="97"/>
    </row>
    <row r="25" spans="2:12" ht="18.75" customHeight="1" x14ac:dyDescent="0.3">
      <c r="B25" s="70" t="str">
        <f>Calculations!B24</f>
        <v>კერძო</v>
      </c>
      <c r="C25" s="36"/>
      <c r="D25" s="73">
        <f ca="1">IF($B25="","",Calculations!G24)</f>
        <v>26888.488010372141</v>
      </c>
      <c r="E25" s="73"/>
      <c r="F25" s="74">
        <f ca="1">IF($B25="","",Calculations!F24)</f>
        <v>25027.329203445071</v>
      </c>
      <c r="G25" s="36"/>
      <c r="H25" s="58">
        <f t="shared" ca="1" si="1"/>
        <v>7.4365058764275904E-2</v>
      </c>
      <c r="I25" s="97"/>
      <c r="J25" s="97"/>
      <c r="K25" s="97"/>
      <c r="L25" s="97"/>
    </row>
    <row r="26" spans="2:12" ht="18.75" customHeight="1" x14ac:dyDescent="0.3">
      <c r="B26" s="70" t="str">
        <f>Calculations!B25</f>
        <v>სახელმწიფო</v>
      </c>
      <c r="C26" s="36"/>
      <c r="D26" s="73">
        <f ca="1">IF($B26="","",Calculations!G25)</f>
        <v>2910</v>
      </c>
      <c r="E26" s="73"/>
      <c r="F26" s="74">
        <f ca="1">IF($B26="","",Calculations!F25)</f>
        <v>2821.7595606860732</v>
      </c>
      <c r="G26" s="36"/>
      <c r="H26" s="58">
        <f t="shared" ca="1" si="1"/>
        <v>3.1271423881513272E-2</v>
      </c>
      <c r="I26" s="97"/>
      <c r="J26" s="97"/>
      <c r="K26" s="97"/>
      <c r="L26" s="97"/>
    </row>
    <row r="27" spans="2:12" ht="18.75" customHeight="1" x14ac:dyDescent="0.3">
      <c r="B27" s="88" t="str">
        <f>Calculations!B26</f>
        <v>ინვესტიციები</v>
      </c>
      <c r="C27" s="89"/>
      <c r="D27" s="90">
        <f ca="1">IF($B27="","",Calculations!G26)</f>
        <v>10465.192412549201</v>
      </c>
      <c r="E27" s="90"/>
      <c r="F27" s="91">
        <f ca="1">IF($B27="","",Calculations!F26)</f>
        <v>9953.296424455315</v>
      </c>
      <c r="G27" s="89"/>
      <c r="H27" s="92">
        <f t="shared" ca="1" si="1"/>
        <v>5.1429794337899404E-2</v>
      </c>
      <c r="I27" s="97"/>
      <c r="J27" s="97"/>
      <c r="K27" s="97"/>
      <c r="L27" s="97"/>
    </row>
    <row r="28" spans="2:12" ht="18.75" customHeight="1" x14ac:dyDescent="0.3">
      <c r="B28" s="70" t="str">
        <f>Calculations!B27</f>
        <v>კერძო</v>
      </c>
      <c r="C28" s="36"/>
      <c r="D28" s="73">
        <f ca="1">IF($B28="","",Calculations!G27)</f>
        <v>8744.1924125492023</v>
      </c>
      <c r="E28" s="73"/>
      <c r="F28" s="74">
        <f ca="1">IF($B28="","",Calculations!F27)</f>
        <v>7896.2454964115186</v>
      </c>
      <c r="G28" s="36"/>
      <c r="H28" s="58">
        <f t="shared" ca="1" si="1"/>
        <v>0.10738608830273022</v>
      </c>
      <c r="I28" s="97"/>
      <c r="J28" s="97"/>
      <c r="K28" s="97"/>
      <c r="L28" s="97"/>
    </row>
    <row r="29" spans="2:12" ht="18.75" customHeight="1" x14ac:dyDescent="0.3">
      <c r="B29" s="70" t="str">
        <f>Calculations!B28</f>
        <v>სახელმწიფო</v>
      </c>
      <c r="C29" s="36"/>
      <c r="D29" s="73">
        <f ca="1">IF($B29="","",Calculations!G28)</f>
        <v>1721</v>
      </c>
      <c r="E29" s="73"/>
      <c r="F29" s="74">
        <f ca="1">IF($B29="","",Calculations!F28)</f>
        <v>2057.0509280437968</v>
      </c>
      <c r="G29" s="36"/>
      <c r="H29" s="58">
        <f t="shared" ca="1" si="1"/>
        <v>-0.16336539045407727</v>
      </c>
      <c r="I29" s="97"/>
      <c r="J29" s="97"/>
      <c r="K29" s="97"/>
      <c r="L29" s="97"/>
    </row>
    <row r="30" spans="2:12" ht="18.75" customHeight="1" x14ac:dyDescent="0.3">
      <c r="B30" s="14" t="str">
        <f>Calculations!B29</f>
        <v>შემოსავლები და გრანტები</v>
      </c>
      <c r="C30" s="36"/>
      <c r="D30" s="73">
        <f ca="1">IF($B30="","",Calculations!G29)</f>
        <v>9538.551931321661</v>
      </c>
      <c r="E30" s="73"/>
      <c r="F30" s="74">
        <f ca="1">IF($B30="","",Calculations!F29)</f>
        <v>8910.7641094575138</v>
      </c>
      <c r="G30" s="36"/>
      <c r="H30" s="58">
        <f t="shared" ca="1" si="1"/>
        <v>7.0452748400986032E-2</v>
      </c>
      <c r="I30" s="97"/>
      <c r="J30" s="97"/>
      <c r="K30" s="97"/>
      <c r="L30" s="97"/>
    </row>
    <row r="31" spans="2:12" ht="18.75" customHeight="1" x14ac:dyDescent="0.3">
      <c r="B31" s="70" t="str">
        <f>Calculations!B30</f>
        <v>საგადასახადო შემოსავლები</v>
      </c>
      <c r="C31" s="36"/>
      <c r="D31" s="73">
        <f ca="1">IF($B31="","",Calculations!G30)</f>
        <v>8639.4772960729442</v>
      </c>
      <c r="E31" s="73"/>
      <c r="F31" s="74">
        <f ca="1">IF($B31="","",Calculations!F30)</f>
        <v>7998.1238808426515</v>
      </c>
      <c r="G31" s="36"/>
      <c r="H31" s="58">
        <f t="shared" ca="1" si="1"/>
        <v>8.0187982179981132E-2</v>
      </c>
      <c r="I31" s="97"/>
      <c r="J31" s="97"/>
      <c r="K31" s="97"/>
      <c r="L31" s="97"/>
    </row>
    <row r="32" spans="2:12" ht="18.75" customHeight="1" x14ac:dyDescent="0.3">
      <c r="B32" s="95" t="str">
        <f>Calculations!B31</f>
        <v>პირდაპირი გადასახადები</v>
      </c>
      <c r="C32" s="36"/>
      <c r="D32" s="73">
        <f ca="1">IF($B32="","",Calculations!G31)</f>
        <v>3731.8067714778344</v>
      </c>
      <c r="E32" s="73"/>
      <c r="F32" s="74">
        <f ca="1">IF($B32="","",Calculations!F31)</f>
        <v>3552.6312838273711</v>
      </c>
      <c r="G32" s="36"/>
      <c r="H32" s="58">
        <f t="shared" ca="1" si="1"/>
        <v>5.0434585898661455E-2</v>
      </c>
      <c r="I32" s="97"/>
      <c r="J32" s="97"/>
      <c r="K32" s="97"/>
      <c r="L32" s="97"/>
    </row>
    <row r="33" spans="2:12" ht="18.75" customHeight="1" x14ac:dyDescent="0.3">
      <c r="B33" s="95" t="str">
        <f>Calculations!B32</f>
        <v>არაპირდაპირი გადასახადები</v>
      </c>
      <c r="C33" s="36"/>
      <c r="D33" s="73">
        <f ca="1">IF($B33="","",Calculations!G32)</f>
        <v>4907.6705245951098</v>
      </c>
      <c r="E33" s="73"/>
      <c r="F33" s="74">
        <f ca="1">IF($B33="","",Calculations!F32)</f>
        <v>4445.4925970152799</v>
      </c>
      <c r="G33" s="36"/>
      <c r="H33" s="58">
        <f t="shared" ca="1" si="1"/>
        <v>0.10396551506803497</v>
      </c>
      <c r="I33" s="97"/>
      <c r="J33" s="97"/>
      <c r="K33" s="97"/>
      <c r="L33" s="97"/>
    </row>
    <row r="34" spans="2:12" ht="34.5" customHeight="1" x14ac:dyDescent="0.3">
      <c r="B34" s="72" t="str">
        <f>Calculations!B33</f>
        <v>ხარჯები და არაფინანსური აქტივების ზრდა</v>
      </c>
      <c r="C34" s="36"/>
      <c r="D34" s="73">
        <f ca="1">IF($B34="","",Calculations!G33)</f>
        <v>10251.03784146527</v>
      </c>
      <c r="E34" s="73"/>
      <c r="F34" s="74">
        <f ca="1">IF($B34="","",Calculations!F33)</f>
        <v>9448.106562439616</v>
      </c>
      <c r="G34" s="36"/>
      <c r="H34" s="58">
        <f t="shared" ca="1" si="1"/>
        <v>8.4983300486645597E-2</v>
      </c>
      <c r="I34" s="97"/>
      <c r="J34" s="97"/>
      <c r="K34" s="97"/>
      <c r="L34" s="97"/>
    </row>
    <row r="35" spans="2:12" ht="18.75" customHeight="1" x14ac:dyDescent="0.3">
      <c r="B35" s="95" t="str">
        <f>Calculations!B34</f>
        <v>მიმდინარე ხარჯები</v>
      </c>
      <c r="C35" s="36"/>
      <c r="D35" s="73">
        <f ca="1">IF($B35="","",Calculations!G34)</f>
        <v>8530.0378414652696</v>
      </c>
      <c r="E35" s="73"/>
      <c r="F35" s="74">
        <f ca="1">IF($B35="","",Calculations!F34)</f>
        <v>7768.106562439616</v>
      </c>
      <c r="G35" s="36"/>
      <c r="H35" s="58">
        <f t="shared" ca="1" si="1"/>
        <v>9.8084555470665968E-2</v>
      </c>
      <c r="I35" s="97"/>
      <c r="J35" s="97"/>
      <c r="K35" s="97"/>
      <c r="L35" s="97"/>
    </row>
    <row r="36" spans="2:12" ht="18.75" customHeight="1" x14ac:dyDescent="0.3">
      <c r="B36" s="95" t="str">
        <f>Calculations!B35</f>
        <v>კაპიტალური ხარჯები</v>
      </c>
      <c r="C36" s="62"/>
      <c r="D36" s="73">
        <f ca="1">IF($B36="","",Calculations!G35)</f>
        <v>1721</v>
      </c>
      <c r="E36" s="73"/>
      <c r="F36" s="74">
        <f ca="1">IF($B36="","",Calculations!F35)</f>
        <v>1680.0000000000002</v>
      </c>
      <c r="G36" s="62"/>
      <c r="H36" s="58">
        <f t="shared" ca="1" si="1"/>
        <v>2.4404761904761818E-2</v>
      </c>
      <c r="I36" s="97"/>
      <c r="J36" s="97"/>
      <c r="K36" s="97"/>
      <c r="L36" s="97"/>
    </row>
    <row r="37" spans="2:12" ht="18.75" customHeight="1" x14ac:dyDescent="0.3">
      <c r="B37" s="14" t="str">
        <f>Calculations!B36</f>
        <v>საოპერაციო სალდო (% მშპ-თან)</v>
      </c>
      <c r="C37" s="62"/>
      <c r="D37" s="52">
        <f ca="1">IF($B37="","",Calculations!G36)</f>
        <v>2.8801821138815343E-2</v>
      </c>
      <c r="E37" s="52"/>
      <c r="F37" s="51">
        <f ca="1">IF($B37="","",Calculations!F36)</f>
        <v>3.5846200415994275E-2</v>
      </c>
      <c r="G37" s="62"/>
      <c r="H37" s="58"/>
      <c r="I37" s="97"/>
      <c r="J37" s="97"/>
      <c r="K37" s="97"/>
      <c r="L37" s="97"/>
    </row>
    <row r="38" spans="2:12" ht="18.75" customHeight="1" x14ac:dyDescent="0.3">
      <c r="B38" s="14" t="str">
        <f>Calculations!B37</f>
        <v>მთლიანი სალდო (% მშპ-თან)</v>
      </c>
      <c r="C38" s="62"/>
      <c r="D38" s="52">
        <f ca="1">IF($B38="","",Calculations!G37)</f>
        <v>-1.2351222411565636E-2</v>
      </c>
      <c r="E38" s="52"/>
      <c r="F38" s="51">
        <f ca="1">IF($B38="","",Calculations!F37)</f>
        <v>-5.7202476201192679E-3</v>
      </c>
      <c r="G38" s="62"/>
      <c r="H38" s="58"/>
      <c r="I38" s="97"/>
      <c r="J38" s="97"/>
      <c r="K38" s="97"/>
      <c r="L38" s="97"/>
    </row>
    <row r="39" spans="2:12" ht="18.75" customHeight="1" x14ac:dyDescent="0.3">
      <c r="B39" s="14" t="str">
        <f>Calculations!B38</f>
        <v>ფისკალური ბალანსი (% მშპ-თან)</v>
      </c>
      <c r="C39" s="62"/>
      <c r="D39" s="52">
        <f ca="1">IF($B39="","",Calculations!G38)</f>
        <v>-3.1074910591508367E-2</v>
      </c>
      <c r="E39" s="52"/>
      <c r="F39" s="51">
        <f ca="1">IF($B39="","",Calculations!F38)</f>
        <v>-2.946561965887887E-2</v>
      </c>
      <c r="G39" s="62"/>
      <c r="H39" s="58"/>
      <c r="I39" s="97"/>
      <c r="J39" s="97"/>
      <c r="K39" s="97"/>
      <c r="L39" s="97"/>
    </row>
    <row r="40" spans="2:12" ht="18.75" customHeight="1" x14ac:dyDescent="0.3">
      <c r="B40" s="14" t="str">
        <f>Calculations!B39</f>
        <v>სახელმწიფო ვალი (% მშპ-თან)</v>
      </c>
      <c r="C40" s="62"/>
      <c r="D40" s="52">
        <f ca="1">IF($B40="","",Calculations!G39)</f>
        <v>0.41625399383716383</v>
      </c>
      <c r="E40" s="52"/>
      <c r="F40" s="51">
        <f ca="1">IF($B40="","",Calculations!F39)</f>
        <v>0.41321217003887833</v>
      </c>
      <c r="G40" s="62"/>
      <c r="H40" s="58"/>
      <c r="I40" s="97"/>
      <c r="J40" s="97"/>
      <c r="K40" s="97"/>
      <c r="L40" s="97"/>
    </row>
    <row r="41" spans="2:12" ht="18.75" customHeight="1" x14ac:dyDescent="0.3">
      <c r="B41" s="70" t="str">
        <f>Calculations!B40</f>
        <v>საგარეო (% მშპ-თან)</v>
      </c>
      <c r="C41" s="62"/>
      <c r="D41" s="52">
        <f ca="1">IF($B41="","",Calculations!G40)</f>
        <v>0.33113670422813096</v>
      </c>
      <c r="E41" s="52"/>
      <c r="F41" s="51">
        <f ca="1">IF($B41="","",Calculations!F40)</f>
        <v>0.32522069688099431</v>
      </c>
      <c r="G41" s="62"/>
      <c r="H41" s="58"/>
      <c r="I41" s="97"/>
      <c r="J41" s="97"/>
      <c r="K41" s="97"/>
      <c r="L41" s="97"/>
    </row>
    <row r="42" spans="2:12" ht="18.75" customHeight="1" x14ac:dyDescent="0.3">
      <c r="B42" s="70" t="str">
        <f>Calculations!B41</f>
        <v>საშინაო (% მშპ-თან)</v>
      </c>
      <c r="C42" s="62"/>
      <c r="D42" s="52">
        <f ca="1">IF($B42="","",Calculations!G41)</f>
        <v>8.5737982107451358E-2</v>
      </c>
      <c r="E42" s="52"/>
      <c r="F42" s="51">
        <f ca="1">IF($B42="","",Calculations!F41)</f>
        <v>9.0168025936895463E-2</v>
      </c>
      <c r="G42" s="62"/>
      <c r="H42" s="58"/>
      <c r="I42" s="97"/>
      <c r="J42" s="97"/>
      <c r="K42" s="97"/>
      <c r="L42" s="97"/>
    </row>
    <row r="43" spans="2:12" ht="18.75" customHeight="1" x14ac:dyDescent="0.3">
      <c r="B43" s="14" t="str">
        <f>Calculations!B42</f>
        <v>წმინდა უცხოური აქტივები</v>
      </c>
      <c r="C43" s="62"/>
      <c r="D43" s="75">
        <f ca="1">IF($B43="","",Calculations!G42)</f>
        <v>1158.819981351983</v>
      </c>
      <c r="E43" s="75"/>
      <c r="F43" s="76">
        <f ca="1">IF($B43="","",Calculations!F42)</f>
        <v>811.09409839940383</v>
      </c>
      <c r="G43" s="62"/>
      <c r="H43" s="58">
        <f ca="1">IFERROR(D43/F43-1,"")</f>
        <v>0.42871213542149311</v>
      </c>
      <c r="I43" s="97"/>
      <c r="J43" s="97"/>
      <c r="K43" s="97"/>
      <c r="L43" s="97"/>
    </row>
    <row r="44" spans="2:12" ht="18.75" customHeight="1" x14ac:dyDescent="0.3">
      <c r="B44" s="14" t="str">
        <f>Calculations!B43</f>
        <v>წმინდა საშინაო აქტივები</v>
      </c>
      <c r="C44" s="62"/>
      <c r="D44" s="75">
        <f ca="1">IF($B44="","",Calculations!G43)</f>
        <v>15023.893160228617</v>
      </c>
      <c r="E44" s="75"/>
      <c r="F44" s="76">
        <f ca="1">IF($B44="","",Calculations!F43)</f>
        <v>12954.933949747936</v>
      </c>
      <c r="G44" s="62"/>
      <c r="H44" s="58">
        <f ca="1">IFERROR(D44/F44-1,"")</f>
        <v>0.15970434264706834</v>
      </c>
      <c r="I44" s="97"/>
      <c r="J44" s="97"/>
      <c r="K44" s="97"/>
      <c r="L44" s="97"/>
    </row>
    <row r="45" spans="2:12" ht="18.75" customHeight="1" x14ac:dyDescent="0.3">
      <c r="B45" s="14" t="str">
        <f>Calculations!B44</f>
        <v>ფართო ფული M3</v>
      </c>
      <c r="C45" s="62"/>
      <c r="D45" s="75">
        <f ca="1">IF($B45="","",Calculations!G44)</f>
        <v>16182.7131415806</v>
      </c>
      <c r="E45" s="75"/>
      <c r="F45" s="76">
        <f ca="1">IF($B45="","",Calculations!F44)</f>
        <v>13766.02804814734</v>
      </c>
      <c r="G45" s="62"/>
      <c r="H45" s="58">
        <f ca="1">IFERROR(D45/F45-1,"")</f>
        <v>0.17555427643912891</v>
      </c>
      <c r="I45" s="97"/>
      <c r="J45" s="97"/>
      <c r="K45" s="97"/>
      <c r="L45" s="97"/>
    </row>
    <row r="46" spans="2:12" ht="18.75" customHeight="1" x14ac:dyDescent="0.3">
      <c r="B46" s="14" t="str">
        <f>Calculations!B45</f>
        <v>ფართო ფული M2</v>
      </c>
      <c r="C46" s="62"/>
      <c r="D46" s="75">
        <f ca="1">IF($B46="","",Calculations!G45)</f>
        <v>6626.0105871248516</v>
      </c>
      <c r="E46" s="75"/>
      <c r="F46" s="76">
        <f ca="1">IF($B46="","",Calculations!F45)</f>
        <v>5911.3093836592861</v>
      </c>
      <c r="G46" s="62"/>
      <c r="H46" s="58">
        <f ca="1">IFERROR(D46/F46-1,"")</f>
        <v>0.12090404292511292</v>
      </c>
      <c r="I46" s="97"/>
      <c r="J46" s="97"/>
      <c r="K46" s="97"/>
      <c r="L46" s="97"/>
    </row>
    <row r="47" spans="2:12" ht="18.75" customHeight="1" x14ac:dyDescent="0.3">
      <c r="B47" s="14" t="str">
        <f>Calculations!B46</f>
        <v>ფულის მიმოქცევის სიჩქარე M3</v>
      </c>
      <c r="C47" s="62"/>
      <c r="D47" s="73">
        <f ca="1">IF($B47="","",Calculations!G46)</f>
        <v>2.1605462831898588</v>
      </c>
      <c r="E47" s="73"/>
      <c r="F47" s="74">
        <f ca="1">IF($B47="","",Calculations!F46)</f>
        <v>2.3034708239585338</v>
      </c>
      <c r="G47" s="62"/>
      <c r="H47" s="58"/>
      <c r="I47" s="97"/>
      <c r="J47" s="97"/>
      <c r="K47" s="97"/>
      <c r="L47" s="97"/>
    </row>
    <row r="48" spans="2:12" ht="29.25" customHeight="1" x14ac:dyDescent="0.3">
      <c r="B48" s="14" t="str">
        <f>Calculations!B47</f>
        <v>ფულის მიმოქცევის სიჩქარე M2</v>
      </c>
      <c r="C48" s="62"/>
      <c r="D48" s="73">
        <f ca="1">IF($B48="","",Calculations!G47)</f>
        <v>5.2767046279563754</v>
      </c>
      <c r="E48" s="73"/>
      <c r="F48" s="74">
        <f ca="1">IF($B48="","",Calculations!F47)</f>
        <v>5.3642335247005759</v>
      </c>
      <c r="G48" s="62"/>
      <c r="H48" s="58"/>
      <c r="I48" s="97"/>
      <c r="J48" s="97"/>
      <c r="K48" s="97"/>
      <c r="L48" s="97"/>
    </row>
    <row r="49" spans="2:12" ht="44.25" customHeight="1" x14ac:dyDescent="0.3">
      <c r="B49" s="72" t="str">
        <f>Calculations!B48</f>
        <v>საქონლისა და მომსახურების ექსპორტი</v>
      </c>
      <c r="C49" s="62"/>
      <c r="D49" s="75">
        <f ca="1">IF($B49="","",Calculations!G48)</f>
        <v>7445.8881519630622</v>
      </c>
      <c r="E49" s="75"/>
      <c r="F49" s="76">
        <f ca="1">IF($B49="","",Calculations!F48)</f>
        <v>6353.7232755042132</v>
      </c>
      <c r="G49" s="62"/>
      <c r="H49" s="58">
        <f ca="1">IFERROR(D49/F49-1,"")</f>
        <v>0.17189368014649298</v>
      </c>
      <c r="I49" s="97"/>
      <c r="J49" s="97"/>
      <c r="K49" s="97"/>
      <c r="L49" s="97"/>
    </row>
    <row r="50" spans="2:12" ht="31.5" customHeight="1" x14ac:dyDescent="0.3">
      <c r="B50" s="72" t="str">
        <f>Calculations!B49</f>
        <v xml:space="preserve">საქონლისა და მომსახურების იმპორტი </v>
      </c>
      <c r="C50" s="62"/>
      <c r="D50" s="75">
        <f ca="1">IF($B50="","",Calculations!G49)</f>
        <v>-9634.5120952020188</v>
      </c>
      <c r="E50" s="75"/>
      <c r="F50" s="76">
        <f ca="1">IF($B50="","",Calculations!F49)</f>
        <v>-9033.9275951312629</v>
      </c>
      <c r="G50" s="62"/>
      <c r="H50" s="58">
        <f ca="1">IFERROR(D50/F50-1,"")</f>
        <v>6.6480995530054265E-2</v>
      </c>
      <c r="I50" s="97"/>
      <c r="J50" s="97"/>
      <c r="K50" s="97"/>
      <c r="L50" s="97"/>
    </row>
    <row r="51" spans="2:12" ht="33" customHeight="1" x14ac:dyDescent="0.3">
      <c r="B51" s="72" t="str">
        <f>Calculations!B50</f>
        <v>მიმდინარე ანგარიშის ბალანსი (% მშპ-თან)</v>
      </c>
      <c r="C51" s="82"/>
      <c r="D51" s="52">
        <f ca="1">IF($B51="","",Calculations!G50)</f>
        <v>-8.9848604434563578E-2</v>
      </c>
      <c r="E51" s="75"/>
      <c r="F51" s="51">
        <f ca="1">IF($B51="","",Calculations!F50)</f>
        <v>-0.10714832517443933</v>
      </c>
      <c r="H51" s="58"/>
      <c r="I51" s="97"/>
      <c r="J51" s="97"/>
      <c r="K51" s="97"/>
      <c r="L51" s="97"/>
    </row>
  </sheetData>
  <sheetProtection selectLockedCells="1"/>
  <mergeCells count="42">
    <mergeCell ref="I15:L15"/>
    <mergeCell ref="I16:L16"/>
    <mergeCell ref="I17:L17"/>
    <mergeCell ref="I18:L18"/>
    <mergeCell ref="I19:L19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K2:L2"/>
    <mergeCell ref="J9:L9"/>
    <mergeCell ref="J8:L8"/>
    <mergeCell ref="J10:L10"/>
    <mergeCell ref="J7:L7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51:L51"/>
    <mergeCell ref="I49:L49"/>
    <mergeCell ref="I50:L50"/>
    <mergeCell ref="I46:L46"/>
    <mergeCell ref="I47:L47"/>
    <mergeCell ref="I48:L48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G38:G50 H38:I51 B38:F51 B16:I37">
    <cfRule type="expression" dxfId="11" priority="1">
      <formula>MOD(ROW(),2)=0</formula>
    </cfRule>
  </conditionalFormatting>
  <conditionalFormatting sqref="H18:H51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scale="6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Calculations!C49:G49</xm:f>
              <xm:sqref>I48</xm:sqref>
            </x14:sparkline>
            <x14:sparkline>
              <xm:f>Calculations!C50:G50</xm:f>
              <xm:sqref>I49</xm:sqref>
            </x14:sparkline>
            <x14:sparkline>
              <xm:f>Calculations!C51:G51</xm:f>
              <xm:sqref>I50</xm:sqref>
            </x14:sparkline>
            <x14:sparkline>
              <xm:f>Calculations!C52:G52</xm:f>
              <xm:sqref>I51</xm:sqref>
            </x14:sparkline>
          </x14:sparklines>
        </x14:sparklineGroup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I41"/>
  <sheetViews>
    <sheetView showGridLines="0" zoomScaleNormal="100" workbookViewId="0">
      <pane ySplit="3" topLeftCell="A12" activePane="bottomLeft" state="frozen"/>
      <selection pane="bottomLeft" activeCell="B3" sqref="B3:I41"/>
    </sheetView>
  </sheetViews>
  <sheetFormatPr defaultRowHeight="15" x14ac:dyDescent="0.3"/>
  <cols>
    <col min="1" max="1" width="2.140625" customWidth="1"/>
    <col min="2" max="2" width="21.42578125" customWidth="1"/>
    <col min="3" max="9" width="14" customWidth="1"/>
    <col min="11" max="11" width="13.85546875" bestFit="1" customWidth="1"/>
  </cols>
  <sheetData>
    <row r="1" spans="2:9" ht="8.25" customHeight="1" x14ac:dyDescent="0.3"/>
    <row r="2" spans="2:9" ht="25.5" customHeight="1" x14ac:dyDescent="0.3">
      <c r="B2" s="17"/>
    </row>
    <row r="3" spans="2:9" ht="25.5" customHeight="1" x14ac:dyDescent="0.3">
      <c r="B3" s="59" t="s">
        <v>0</v>
      </c>
      <c r="C3" s="60">
        <v>2013</v>
      </c>
      <c r="D3" s="60">
        <v>2014</v>
      </c>
      <c r="E3" s="60">
        <v>2015</v>
      </c>
      <c r="F3" s="60">
        <v>2016</v>
      </c>
      <c r="G3" s="60">
        <v>2017</v>
      </c>
      <c r="H3" s="60">
        <v>2018</v>
      </c>
      <c r="I3" s="61">
        <v>2019</v>
      </c>
    </row>
    <row r="4" spans="2:9" s="5" customFormat="1" ht="19.5" customHeight="1" x14ac:dyDescent="0.3">
      <c r="B4" s="15" t="s">
        <v>6</v>
      </c>
      <c r="C4" s="46">
        <v>3.3189156503413919E-2</v>
      </c>
      <c r="D4" s="46">
        <v>4.7025417212964493E-2</v>
      </c>
      <c r="E4" s="46">
        <v>0.03</v>
      </c>
      <c r="F4" s="46">
        <v>3.4925977816220088E-2</v>
      </c>
      <c r="G4" s="46">
        <v>5.0467354110932616E-2</v>
      </c>
      <c r="H4" s="46">
        <v>4.6975874531084649E-2</v>
      </c>
      <c r="I4" s="77">
        <v>4.9479577430122879E-2</v>
      </c>
    </row>
    <row r="5" spans="2:9" s="5" customFormat="1" ht="19.5" customHeight="1" x14ac:dyDescent="0.3">
      <c r="B5" s="16" t="s">
        <v>7</v>
      </c>
      <c r="C5" s="41">
        <v>-5.1236447597637902E-3</v>
      </c>
      <c r="D5" s="41">
        <v>3.068816273156405E-2</v>
      </c>
      <c r="E5" s="41">
        <v>4.0035773260675311E-2</v>
      </c>
      <c r="F5" s="41">
        <v>5.1715151312750951E-2</v>
      </c>
      <c r="G5" s="41">
        <v>4.7870840041349672E-2</v>
      </c>
      <c r="H5" s="41">
        <v>5.0298539000764864E-2</v>
      </c>
      <c r="I5" s="42">
        <v>5.3529128147940197E-2</v>
      </c>
    </row>
    <row r="6" spans="2:9" s="5" customFormat="1" ht="19.5" customHeight="1" x14ac:dyDescent="0.3">
      <c r="B6" s="16" t="s">
        <v>8</v>
      </c>
      <c r="C6" s="41">
        <v>-7.2209019783617823E-3</v>
      </c>
      <c r="D6" s="41">
        <v>3.6857892185238272E-2</v>
      </c>
      <c r="E6" s="41">
        <v>6.0791609573638716E-2</v>
      </c>
      <c r="F6" s="41">
        <v>6.1396031303982301E-2</v>
      </c>
      <c r="G6" s="41">
        <v>5.8582498106402703E-2</v>
      </c>
      <c r="H6" s="41">
        <v>5.5223509118471625E-2</v>
      </c>
      <c r="I6" s="42">
        <v>5.157024403318311E-2</v>
      </c>
    </row>
    <row r="7" spans="2:9" s="5" customFormat="1" ht="19.5" customHeight="1" x14ac:dyDescent="0.3">
      <c r="B7" s="16" t="s">
        <v>39</v>
      </c>
      <c r="C7" s="39">
        <v>26847.354249055072</v>
      </c>
      <c r="D7" s="39">
        <v>29150.481302203254</v>
      </c>
      <c r="E7" s="39">
        <v>31876.671272195799</v>
      </c>
      <c r="F7" s="39">
        <v>35015.636163966294</v>
      </c>
      <c r="G7" s="39">
        <v>38935.132715200503</v>
      </c>
      <c r="H7" s="39">
        <v>43012.076646367728</v>
      </c>
      <c r="I7" s="40">
        <v>47466.229924014471</v>
      </c>
    </row>
    <row r="8" spans="2:9" s="5" customFormat="1" ht="19.5" customHeight="1" x14ac:dyDescent="0.3">
      <c r="B8" s="16" t="s">
        <v>40</v>
      </c>
      <c r="C8" s="39">
        <v>16140.49785993154</v>
      </c>
      <c r="D8" s="39">
        <v>16508.759005488708</v>
      </c>
      <c r="E8" s="39">
        <v>14047.921102441313</v>
      </c>
      <c r="F8" s="39">
        <v>14602.784564065343</v>
      </c>
      <c r="G8" s="39">
        <v>16237.35614429469</v>
      </c>
      <c r="H8" s="39">
        <v>17937.588966792267</v>
      </c>
      <c r="I8" s="40">
        <v>19795.131706390843</v>
      </c>
    </row>
    <row r="9" spans="2:9" s="5" customFormat="1" ht="19.5" customHeight="1" x14ac:dyDescent="0.3">
      <c r="B9" s="16" t="s">
        <v>33</v>
      </c>
      <c r="C9" s="78">
        <v>5987.63420515078</v>
      </c>
      <c r="D9" s="78">
        <v>6491.5891999116475</v>
      </c>
      <c r="E9" s="78">
        <v>8547.1702030287706</v>
      </c>
      <c r="F9" s="78">
        <v>9388.8285732581571</v>
      </c>
      <c r="G9" s="78">
        <v>10439.772815444565</v>
      </c>
      <c r="H9" s="78">
        <v>11532.933810528953</v>
      </c>
      <c r="I9" s="79">
        <v>12727.236874651957</v>
      </c>
    </row>
    <row r="10" spans="2:9" s="5" customFormat="1" ht="19.5" customHeight="1" x14ac:dyDescent="0.3">
      <c r="B10" s="16" t="s">
        <v>32</v>
      </c>
      <c r="C10" s="78">
        <v>3599.7363530780895</v>
      </c>
      <c r="D10" s="78">
        <v>3676.3743470635136</v>
      </c>
      <c r="E10" s="78">
        <v>3766.7036070361478</v>
      </c>
      <c r="F10" s="78">
        <v>3915.4805105417199</v>
      </c>
      <c r="G10" s="78">
        <v>4353.7622052003462</v>
      </c>
      <c r="H10" s="78">
        <v>4809.6498101065208</v>
      </c>
      <c r="I10" s="79">
        <v>5307.7173096637198</v>
      </c>
    </row>
    <row r="11" spans="2:9" s="5" customFormat="1" ht="19.5" customHeight="1" x14ac:dyDescent="0.3">
      <c r="B11" s="16" t="s">
        <v>9</v>
      </c>
      <c r="C11" s="78">
        <v>30324.663857422169</v>
      </c>
      <c r="D11" s="78">
        <v>34259.549574719094</v>
      </c>
      <c r="E11" s="78">
        <v>37802.385188586457</v>
      </c>
      <c r="F11" s="78">
        <v>40263.680422921338</v>
      </c>
      <c r="G11" s="78">
        <v>44409.405236201033</v>
      </c>
      <c r="H11" s="78">
        <v>49146.792385030087</v>
      </c>
      <c r="I11" s="79">
        <v>54310.199097247736</v>
      </c>
    </row>
    <row r="12" spans="2:9" s="5" customFormat="1" ht="19.5" customHeight="1" x14ac:dyDescent="0.3">
      <c r="B12" s="16" t="s">
        <v>10</v>
      </c>
      <c r="C12" s="78">
        <v>23671.752066170739</v>
      </c>
      <c r="D12" s="78">
        <v>25570.696804347208</v>
      </c>
      <c r="E12" s="78">
        <v>27849.088764131142</v>
      </c>
      <c r="F12" s="78">
        <v>29798.488010372137</v>
      </c>
      <c r="G12" s="78">
        <v>32604.705249914565</v>
      </c>
      <c r="H12" s="78">
        <v>35728.186262569187</v>
      </c>
      <c r="I12" s="79">
        <v>39205.414951227576</v>
      </c>
    </row>
    <row r="13" spans="2:9" s="5" customFormat="1" ht="19.5" customHeight="1" x14ac:dyDescent="0.3">
      <c r="B13" s="69" t="s">
        <v>11</v>
      </c>
      <c r="C13" s="78">
        <v>21265.752066170735</v>
      </c>
      <c r="D13" s="78">
        <v>22905.196804347208</v>
      </c>
      <c r="E13" s="78">
        <v>25027.329203445071</v>
      </c>
      <c r="F13" s="78">
        <v>26888.488010372141</v>
      </c>
      <c r="G13" s="78">
        <v>29554.705249914565</v>
      </c>
      <c r="H13" s="78">
        <v>32448.186262569187</v>
      </c>
      <c r="I13" s="79">
        <v>35775.414951227584</v>
      </c>
    </row>
    <row r="14" spans="2:9" s="5" customFormat="1" ht="19.5" customHeight="1" x14ac:dyDescent="0.3">
      <c r="B14" s="69" t="s">
        <v>12</v>
      </c>
      <c r="C14" s="78">
        <v>2406</v>
      </c>
      <c r="D14" s="78">
        <v>2665.5</v>
      </c>
      <c r="E14" s="78">
        <v>2821.7595606860732</v>
      </c>
      <c r="F14" s="78">
        <v>2910</v>
      </c>
      <c r="G14" s="78">
        <v>3050</v>
      </c>
      <c r="H14" s="78">
        <v>3280</v>
      </c>
      <c r="I14" s="79">
        <v>3429.9999999999995</v>
      </c>
    </row>
    <row r="15" spans="2:9" s="5" customFormat="1" ht="19.5" customHeight="1" x14ac:dyDescent="0.3">
      <c r="B15" s="16" t="s">
        <v>13</v>
      </c>
      <c r="C15" s="78">
        <v>6652.9117912514312</v>
      </c>
      <c r="D15" s="78">
        <v>8688.8527703718883</v>
      </c>
      <c r="E15" s="78">
        <v>9953.296424455315</v>
      </c>
      <c r="F15" s="78">
        <v>10465.192412549201</v>
      </c>
      <c r="G15" s="78">
        <v>11804.699986286469</v>
      </c>
      <c r="H15" s="78">
        <v>13418.606122460898</v>
      </c>
      <c r="I15" s="79">
        <v>15104.784146020156</v>
      </c>
    </row>
    <row r="16" spans="2:9" s="5" customFormat="1" ht="19.5" customHeight="1" x14ac:dyDescent="0.3">
      <c r="B16" s="69" t="s">
        <v>11</v>
      </c>
      <c r="C16" s="78">
        <v>5261.3837121914312</v>
      </c>
      <c r="D16" s="78">
        <v>7244.9136180094893</v>
      </c>
      <c r="E16" s="78">
        <v>7896.2454964115186</v>
      </c>
      <c r="F16" s="78">
        <v>8744.1924125492023</v>
      </c>
      <c r="G16" s="78">
        <v>9755.6999862864686</v>
      </c>
      <c r="H16" s="78">
        <v>10895.606122460897</v>
      </c>
      <c r="I16" s="79">
        <v>12281.784146020156</v>
      </c>
    </row>
    <row r="17" spans="2:9" ht="19.5" customHeight="1" x14ac:dyDescent="0.3">
      <c r="B17" s="69" t="s">
        <v>12</v>
      </c>
      <c r="C17" s="78">
        <v>1391.5280790600004</v>
      </c>
      <c r="D17" s="78">
        <v>1443.9391523623997</v>
      </c>
      <c r="E17" s="78">
        <v>2057.0509280437968</v>
      </c>
      <c r="F17" s="78">
        <v>1721</v>
      </c>
      <c r="G17" s="78">
        <v>2049</v>
      </c>
      <c r="H17" s="78">
        <v>2523</v>
      </c>
      <c r="I17" s="79">
        <v>2823</v>
      </c>
    </row>
    <row r="18" spans="2:9" ht="19.5" customHeight="1" x14ac:dyDescent="0.3">
      <c r="B18" s="16" t="s">
        <v>14</v>
      </c>
      <c r="C18" s="64">
        <v>7434.1547619677067</v>
      </c>
      <c r="D18" s="64">
        <v>8118.8366391870004</v>
      </c>
      <c r="E18" s="64">
        <v>8910.7641094575138</v>
      </c>
      <c r="F18" s="64">
        <v>9538.551931321661</v>
      </c>
      <c r="G18" s="64">
        <v>10234.468121820775</v>
      </c>
      <c r="H18" s="64">
        <v>11157.50076412895</v>
      </c>
      <c r="I18" s="65">
        <v>12311.182181870779</v>
      </c>
    </row>
    <row r="19" spans="2:9" ht="19.5" customHeight="1" x14ac:dyDescent="0.3">
      <c r="B19" s="16" t="s">
        <v>15</v>
      </c>
      <c r="C19" s="64">
        <v>6659.393661967707</v>
      </c>
      <c r="D19" s="64">
        <v>7241.5766391870002</v>
      </c>
      <c r="E19" s="64">
        <v>7998.1238808426515</v>
      </c>
      <c r="F19" s="64">
        <v>8639.4772960729442</v>
      </c>
      <c r="G19" s="64">
        <v>9343.0046252549819</v>
      </c>
      <c r="H19" s="64">
        <v>10276.480251129004</v>
      </c>
      <c r="I19" s="65">
        <v>11430.736955914439</v>
      </c>
    </row>
    <row r="20" spans="2:9" ht="19.5" customHeight="1" x14ac:dyDescent="0.3">
      <c r="B20" s="69" t="s">
        <v>16</v>
      </c>
      <c r="C20" s="64">
        <v>2999.9481359800002</v>
      </c>
      <c r="D20" s="64">
        <v>3037.9493206800003</v>
      </c>
      <c r="E20" s="64">
        <v>3552.6312838273711</v>
      </c>
      <c r="F20" s="64">
        <v>3731.8067714778344</v>
      </c>
      <c r="G20" s="64">
        <v>3999.0200770580996</v>
      </c>
      <c r="H20" s="64">
        <v>4418.7427055123699</v>
      </c>
      <c r="I20" s="65">
        <v>4993.5599106414193</v>
      </c>
    </row>
    <row r="21" spans="2:9" ht="19.5" customHeight="1" x14ac:dyDescent="0.3">
      <c r="B21" s="69" t="s">
        <v>17</v>
      </c>
      <c r="C21" s="64">
        <v>3659.4455259877068</v>
      </c>
      <c r="D21" s="64">
        <v>4203.6273185069995</v>
      </c>
      <c r="E21" s="64">
        <v>4445.4925970152799</v>
      </c>
      <c r="F21" s="64">
        <v>4907.6705245951098</v>
      </c>
      <c r="G21" s="64">
        <v>5343.9845481968823</v>
      </c>
      <c r="H21" s="64">
        <v>5857.7375456166346</v>
      </c>
      <c r="I21" s="65">
        <v>6437.1770452730207</v>
      </c>
    </row>
    <row r="22" spans="2:9" ht="19.5" customHeight="1" x14ac:dyDescent="0.3">
      <c r="B22" s="16" t="s">
        <v>18</v>
      </c>
      <c r="C22" s="64">
        <v>7860.9439137400004</v>
      </c>
      <c r="D22" s="64">
        <v>8813.2728009435996</v>
      </c>
      <c r="E22" s="64">
        <v>9448.106562439616</v>
      </c>
      <c r="F22" s="64">
        <v>10251.03784146527</v>
      </c>
      <c r="G22" s="64">
        <v>10889.007168072896</v>
      </c>
      <c r="H22" s="64">
        <v>11883.006236380625</v>
      </c>
      <c r="I22" s="65">
        <v>12778.007876830263</v>
      </c>
    </row>
    <row r="23" spans="2:9" x14ac:dyDescent="0.3">
      <c r="B23" s="69" t="s">
        <v>19</v>
      </c>
      <c r="C23" s="85">
        <v>6469.4158346799995</v>
      </c>
      <c r="D23" s="85">
        <v>7369.3336485812006</v>
      </c>
      <c r="E23" s="85">
        <v>7768.106562439616</v>
      </c>
      <c r="F23" s="85">
        <v>8530.0378414652696</v>
      </c>
      <c r="G23" s="85">
        <v>8840.0071680728961</v>
      </c>
      <c r="H23" s="85">
        <v>9360.0062363806246</v>
      </c>
      <c r="I23" s="86">
        <v>9955.0078768302628</v>
      </c>
    </row>
    <row r="24" spans="2:9" x14ac:dyDescent="0.3">
      <c r="B24" s="71" t="s">
        <v>20</v>
      </c>
      <c r="C24" s="87">
        <v>1391.5280790600004</v>
      </c>
      <c r="D24" s="87">
        <v>1443.9391523623997</v>
      </c>
      <c r="E24" s="87">
        <v>1680.0000000000002</v>
      </c>
      <c r="F24" s="87">
        <v>1721</v>
      </c>
      <c r="G24" s="87">
        <v>2049</v>
      </c>
      <c r="H24" s="87">
        <v>2523</v>
      </c>
      <c r="I24" s="87">
        <v>2823</v>
      </c>
    </row>
    <row r="25" spans="2:9" x14ac:dyDescent="0.3">
      <c r="B25" s="16" t="s">
        <v>41</v>
      </c>
      <c r="C25" s="41">
        <v>3.5934227199377118E-2</v>
      </c>
      <c r="D25" s="41">
        <v>2.5730404006129692E-2</v>
      </c>
      <c r="E25" s="41">
        <v>3.5846200415994275E-2</v>
      </c>
      <c r="F25" s="41">
        <v>2.8801821138815343E-2</v>
      </c>
      <c r="G25" s="41">
        <v>3.5814978825113225E-2</v>
      </c>
      <c r="H25" s="41">
        <v>4.1790461374994321E-2</v>
      </c>
      <c r="I25" s="42">
        <v>4.9638960347437734E-2</v>
      </c>
    </row>
    <row r="26" spans="2:9" x14ac:dyDescent="0.3">
      <c r="B26" s="16" t="s">
        <v>42</v>
      </c>
      <c r="C26" s="41">
        <v>-1.1215925186478699E-2</v>
      </c>
      <c r="D26" s="41">
        <v>-1.9900996988950544E-2</v>
      </c>
      <c r="E26" s="41">
        <v>-5.7202476201192679E-3</v>
      </c>
      <c r="F26" s="41">
        <v>-1.2351222411565636E-2</v>
      </c>
      <c r="G26" s="41">
        <v>-1.3728964279180016E-2</v>
      </c>
      <c r="H26" s="41">
        <v>-1.5705018797522282E-2</v>
      </c>
      <c r="I26" s="42">
        <v>-8.9921970976578561E-3</v>
      </c>
    </row>
    <row r="27" spans="2:9" x14ac:dyDescent="0.3">
      <c r="B27" s="16" t="s">
        <v>43</v>
      </c>
      <c r="C27" s="41">
        <v>-2.6288632342195681E-2</v>
      </c>
      <c r="D27" s="41">
        <v>-3.2142893921577889E-2</v>
      </c>
      <c r="E27" s="41">
        <v>-2.946561965887887E-2</v>
      </c>
      <c r="F27" s="41">
        <v>-3.1074910591508367E-2</v>
      </c>
      <c r="G27" s="41">
        <v>-2.8401920701849433E-2</v>
      </c>
      <c r="H27" s="41">
        <v>-2.4800643429602542E-2</v>
      </c>
      <c r="I27" s="42">
        <v>-1.5749244821577104E-2</v>
      </c>
    </row>
    <row r="28" spans="2:9" x14ac:dyDescent="0.3">
      <c r="B28" s="16" t="s">
        <v>44</v>
      </c>
      <c r="C28" s="41">
        <v>0.34688251428454175</v>
      </c>
      <c r="D28" s="41">
        <v>0.3566714197619153</v>
      </c>
      <c r="E28" s="41">
        <v>0.41321217003887833</v>
      </c>
      <c r="F28" s="41">
        <v>0.41625399383716383</v>
      </c>
      <c r="G28" s="41">
        <v>0.40427241163235728</v>
      </c>
      <c r="H28" s="41">
        <v>0.38978355167177908</v>
      </c>
      <c r="I28" s="42">
        <v>0.37364246598879708</v>
      </c>
    </row>
    <row r="29" spans="2:9" x14ac:dyDescent="0.3">
      <c r="B29" s="69" t="s">
        <v>45</v>
      </c>
      <c r="C29" s="41">
        <v>0.27175779319322652</v>
      </c>
      <c r="D29" s="41">
        <v>0.2684944880209727</v>
      </c>
      <c r="E29" s="41">
        <v>0.32522069688099431</v>
      </c>
      <c r="F29" s="41">
        <v>0.33113670422813096</v>
      </c>
      <c r="G29" s="41">
        <v>0.31827739161816798</v>
      </c>
      <c r="H29" s="41">
        <v>0.30346431284473463</v>
      </c>
      <c r="I29" s="42">
        <v>0.28770014223631996</v>
      </c>
    </row>
    <row r="30" spans="2:9" x14ac:dyDescent="0.3">
      <c r="B30" s="69" t="s">
        <v>46</v>
      </c>
      <c r="C30" s="41">
        <v>7.5124721091315266E-2</v>
      </c>
      <c r="D30" s="41">
        <v>8.8176931740942613E-2</v>
      </c>
      <c r="E30" s="41">
        <v>9.0168025936895463E-2</v>
      </c>
      <c r="F30" s="41">
        <v>8.5737982107451358E-2</v>
      </c>
      <c r="G30" s="41">
        <v>8.6467710866672598E-2</v>
      </c>
      <c r="H30" s="41">
        <v>8.6765604285366088E-2</v>
      </c>
      <c r="I30" s="42">
        <v>8.6307728028672412E-2</v>
      </c>
    </row>
    <row r="31" spans="2:9" x14ac:dyDescent="0.3">
      <c r="B31" s="16" t="s">
        <v>21</v>
      </c>
      <c r="C31" s="64">
        <v>1195.2198558058453</v>
      </c>
      <c r="D31" s="64">
        <v>923.30328697508548</v>
      </c>
      <c r="E31" s="64">
        <v>811.09409839940383</v>
      </c>
      <c r="F31" s="64">
        <v>1158.819981351983</v>
      </c>
      <c r="G31" s="64">
        <v>1150.5916128040833</v>
      </c>
      <c r="H31" s="64">
        <v>1075.608813240076</v>
      </c>
      <c r="I31" s="65">
        <v>684.76554645532417</v>
      </c>
    </row>
    <row r="32" spans="2:9" x14ac:dyDescent="0.3">
      <c r="B32" s="16" t="s">
        <v>22</v>
      </c>
      <c r="C32" s="64">
        <v>8641.3987452150668</v>
      </c>
      <c r="D32" s="64">
        <v>10266.532619375645</v>
      </c>
      <c r="E32" s="64">
        <v>12954.933949747936</v>
      </c>
      <c r="F32" s="64">
        <v>15023.893160228617</v>
      </c>
      <c r="G32" s="64">
        <v>18055.482870793297</v>
      </c>
      <c r="H32" s="64">
        <v>21691.011975443085</v>
      </c>
      <c r="I32" s="65">
        <v>26368.697133796002</v>
      </c>
    </row>
    <row r="33" spans="2:9" x14ac:dyDescent="0.3">
      <c r="B33" s="16" t="s">
        <v>23</v>
      </c>
      <c r="C33" s="64">
        <v>9836.6186010223573</v>
      </c>
      <c r="D33" s="64">
        <v>11189.835906350731</v>
      </c>
      <c r="E33" s="64">
        <v>13766.02804814734</v>
      </c>
      <c r="F33" s="64">
        <v>16182.7131415806</v>
      </c>
      <c r="G33" s="64">
        <v>19206.074483597382</v>
      </c>
      <c r="H33" s="64">
        <v>22766.620788683162</v>
      </c>
      <c r="I33" s="65">
        <v>27053.462680251327</v>
      </c>
    </row>
    <row r="34" spans="2:9" x14ac:dyDescent="0.3">
      <c r="B34" s="16" t="s">
        <v>24</v>
      </c>
      <c r="C34" s="64">
        <v>5418.4025162175931</v>
      </c>
      <c r="D34" s="64">
        <v>5911.3096916592704</v>
      </c>
      <c r="E34" s="64">
        <v>5911.3093836592861</v>
      </c>
      <c r="F34" s="64">
        <v>6626.0105871248516</v>
      </c>
      <c r="G34" s="64">
        <v>7879.1495081034891</v>
      </c>
      <c r="H34" s="64">
        <v>9298.529531509279</v>
      </c>
      <c r="I34" s="65">
        <v>11015.58737510754</v>
      </c>
    </row>
    <row r="35" spans="2:9" x14ac:dyDescent="0.3">
      <c r="B35" s="16" t="s">
        <v>34</v>
      </c>
      <c r="C35" s="64">
        <v>2.6083453056994599</v>
      </c>
      <c r="D35" s="64">
        <v>2.6031730943950087</v>
      </c>
      <c r="E35" s="64">
        <v>2.3034708239585338</v>
      </c>
      <c r="F35" s="64">
        <v>2.1605462831898588</v>
      </c>
      <c r="G35" s="64">
        <v>2.0248625746260447</v>
      </c>
      <c r="H35" s="64">
        <v>1.8870994327449433</v>
      </c>
      <c r="I35" s="65">
        <v>1.7528201900501477</v>
      </c>
    </row>
    <row r="36" spans="2:9" x14ac:dyDescent="0.3">
      <c r="B36" s="16" t="s">
        <v>35</v>
      </c>
      <c r="C36" s="64">
        <v>4.9374770533608423</v>
      </c>
      <c r="D36" s="64">
        <v>4.9276862965254393</v>
      </c>
      <c r="E36" s="64">
        <v>5.3642335247005759</v>
      </c>
      <c r="F36" s="64">
        <v>5.2767046279563754</v>
      </c>
      <c r="G36" s="64">
        <v>4.9357689414726327</v>
      </c>
      <c r="H36" s="64">
        <v>4.6203947656732085</v>
      </c>
      <c r="I36" s="65">
        <v>4.3047959207213653</v>
      </c>
    </row>
    <row r="37" spans="2:9" x14ac:dyDescent="0.3">
      <c r="B37" s="16" t="s">
        <v>36</v>
      </c>
      <c r="C37" s="85">
        <v>7209.7951429261739</v>
      </c>
      <c r="D37" s="85">
        <v>7091.8197259087847</v>
      </c>
      <c r="E37" s="85">
        <v>6353.7232755042132</v>
      </c>
      <c r="F37" s="85">
        <v>7445.8881519630622</v>
      </c>
      <c r="G37" s="85">
        <v>8296.6014432803913</v>
      </c>
      <c r="H37" s="85">
        <v>9611.0730760891347</v>
      </c>
      <c r="I37" s="86">
        <v>11010.059077606764</v>
      </c>
    </row>
    <row r="38" spans="2:9" x14ac:dyDescent="0.3">
      <c r="B38" t="s">
        <v>37</v>
      </c>
      <c r="C38" s="87">
        <v>-9296.9570723100442</v>
      </c>
      <c r="D38" s="87">
        <v>-10074.399109370013</v>
      </c>
      <c r="E38" s="87">
        <v>-9033.9275951312629</v>
      </c>
      <c r="F38" s="87">
        <v>-9634.5120952020188</v>
      </c>
      <c r="G38" s="87">
        <v>-10579.570740048941</v>
      </c>
      <c r="H38" s="87">
        <v>-12169.471040757731</v>
      </c>
      <c r="I38" s="87">
        <v>-13864.24133298091</v>
      </c>
    </row>
    <row r="39" spans="2:9" x14ac:dyDescent="0.3">
      <c r="B39" t="s">
        <v>38</v>
      </c>
      <c r="C39" s="80">
        <v>-5.7605713330967069E-2</v>
      </c>
      <c r="D39" s="80">
        <v>-0.10570166322872367</v>
      </c>
      <c r="E39" s="80">
        <v>-0.10714832517443933</v>
      </c>
      <c r="F39" s="80">
        <v>-8.9848604434563578E-2</v>
      </c>
      <c r="G39" s="80">
        <v>-8.9059651455714123E-2</v>
      </c>
      <c r="H39" s="80">
        <v>-9.0497851766100618E-2</v>
      </c>
      <c r="I39" s="80">
        <v>-9.1385025299188308E-2</v>
      </c>
    </row>
    <row r="40" spans="2:9" x14ac:dyDescent="0.3">
      <c r="B40" t="s">
        <v>25</v>
      </c>
      <c r="C40" s="81">
        <v>2823.4223102112542</v>
      </c>
      <c r="D40" s="81">
        <v>2699.1875607971638</v>
      </c>
      <c r="E40" s="81">
        <v>2520.5842248410399</v>
      </c>
      <c r="F40" s="81">
        <v>2569.2032253872053</v>
      </c>
      <c r="G40" s="81">
        <v>2821.2188640130512</v>
      </c>
      <c r="H40" s="81">
        <v>3245.1922775353955</v>
      </c>
      <c r="I40" s="81">
        <v>3697.1310221282424</v>
      </c>
    </row>
    <row r="41" spans="2:9" x14ac:dyDescent="0.3">
      <c r="B41" t="s">
        <v>26</v>
      </c>
      <c r="C41" s="81">
        <v>3.2927971981684974</v>
      </c>
      <c r="D41" s="81">
        <v>3.2151049782651948</v>
      </c>
      <c r="E41" s="81">
        <v>3.2</v>
      </c>
      <c r="F41" s="81">
        <v>3.2</v>
      </c>
      <c r="G41" s="81">
        <v>3.2</v>
      </c>
      <c r="H41" s="81">
        <v>3.2</v>
      </c>
      <c r="I41" s="81">
        <v>3.2</v>
      </c>
    </row>
  </sheetData>
  <sheetProtection algorithmName="SHA-512" hashValue="4XmWelEn+3Qbm4/YCtSDhKTFcuJWsOtwiUGu6xrrcGkgt5hH2qMolUp4z6C4Vh9W7iFJx4xo4t7FexKdrpD58g==" saltValue="B3mJ2g9+4aWKPo7k6sl7qA==" spinCount="100000" sheet="1" objects="1" scenarios="1"/>
  <conditionalFormatting sqref="B25:I37 B4:I23">
    <cfRule type="expression" dxfId="10" priority="13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2"/>
  <sheetViews>
    <sheetView topLeftCell="A22" workbookViewId="0">
      <selection sqref="A1:H52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2016</v>
      </c>
      <c r="D3">
        <f ca="1">MATCH(C3,lstYears,0)+1</f>
        <v>5</v>
      </c>
    </row>
    <row r="4" spans="1:9" ht="19.5" customHeight="1" x14ac:dyDescent="0.3">
      <c r="B4" t="s">
        <v>3</v>
      </c>
      <c r="C4" s="2">
        <f>C3-1</f>
        <v>2015</v>
      </c>
      <c r="D4">
        <f ca="1">MATCH(C4,lstYears,0)+1</f>
        <v>4</v>
      </c>
    </row>
    <row r="5" spans="1:9" ht="19.5" customHeight="1" x14ac:dyDescent="0.3"/>
    <row r="6" spans="1:9" ht="19.5" customHeight="1" thickBot="1" x14ac:dyDescent="0.35">
      <c r="B6" t="s">
        <v>1</v>
      </c>
      <c r="C6" s="1" t="e">
        <f ca="1">MATCH(C7,lstYears,0)+1</f>
        <v>#N/A</v>
      </c>
      <c r="D6" s="1">
        <f ca="1">MATCH(D7,lstYears,0)+1</f>
        <v>2</v>
      </c>
      <c r="E6" s="1">
        <f ca="1">MATCH(E7,lstYears,0)+1</f>
        <v>3</v>
      </c>
      <c r="F6" s="1">
        <f ca="1">MATCH(F7,lstYears,0)+1</f>
        <v>4</v>
      </c>
      <c r="G6" s="1">
        <f ca="1">MATCH(G7,lstYears,0)+1</f>
        <v>5</v>
      </c>
      <c r="I6">
        <f ca="1">COUNT(C6:G6)</f>
        <v>4</v>
      </c>
    </row>
    <row r="7" spans="1:9" ht="19.5" thickBot="1" x14ac:dyDescent="0.35">
      <c r="B7" s="7" t="s">
        <v>4</v>
      </c>
      <c r="C7" s="12">
        <f>D7-1</f>
        <v>2012</v>
      </c>
      <c r="D7" s="12">
        <f>E7-1</f>
        <v>2013</v>
      </c>
      <c r="E7" s="12">
        <f>F7-1</f>
        <v>2014</v>
      </c>
      <c r="F7" s="12">
        <f>G7-1</f>
        <v>2015</v>
      </c>
      <c r="G7" s="12">
        <f>C3</f>
        <v>2016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რეალური მთლიანი შიდა პროდუქტი</v>
      </c>
      <c r="C8" s="43" t="e">
        <f ca="1">IFERROR(INDEX('Macro Data Input'!$B$4:$I$48,$A8,C$6),NA())</f>
        <v>#N/A</v>
      </c>
      <c r="D8" s="43">
        <f ca="1">IFERROR(INDEX('Macro Data Input'!$B$4:$I$48,$A8,D$6),NA())</f>
        <v>3.3189156503413919E-2</v>
      </c>
      <c r="E8" s="43">
        <f ca="1">IFERROR(INDEX('Macro Data Input'!$B$4:$I$48,$A8,E$6),NA())</f>
        <v>4.7025417212964493E-2</v>
      </c>
      <c r="F8" s="43">
        <f ca="1">IFERROR(INDEX('Macro Data Input'!$B$4:$I$48,$A8,F$6),NA())</f>
        <v>0.03</v>
      </c>
      <c r="G8" s="43">
        <f ca="1">IFERROR(INDEX('Macro Data Input'!$B$4:$I$48,$A8,G$6),NA())</f>
        <v>3.4925977816220088E-2</v>
      </c>
      <c r="H8" s="3">
        <f ca="1">IFERROR(G8-F8,"")</f>
        <v>4.9259778162200896E-3</v>
      </c>
    </row>
    <row r="9" spans="1:9" ht="19.5" customHeight="1" x14ac:dyDescent="0.3">
      <c r="A9">
        <f>MATCH(B9,'Macro Data Input'!$B$4:$B$45,0)</f>
        <v>3</v>
      </c>
      <c r="B9" t="str">
        <f>B17</f>
        <v>მშპ-ს დეფლატორი</v>
      </c>
      <c r="C9" s="43" t="e">
        <f ca="1">IFERROR(INDEX('Macro Data Input'!$B$4:$I$48,$A9,C$6),NA())</f>
        <v>#N/A</v>
      </c>
      <c r="D9" s="43">
        <f ca="1">IFERROR(INDEX('Macro Data Input'!$B$4:$I$48,$A9,D$6),NA())</f>
        <v>-7.2209019783617823E-3</v>
      </c>
      <c r="E9" s="43">
        <f ca="1">IFERROR(INDEX('Macro Data Input'!$B$4:$I$48,$A9,E$6),NA())</f>
        <v>3.6857892185238272E-2</v>
      </c>
      <c r="F9" s="43">
        <f ca="1">IFERROR(INDEX('Macro Data Input'!$B$4:$I$48,$A9,F$6),NA())</f>
        <v>6.0791609573638716E-2</v>
      </c>
      <c r="G9" s="43">
        <f ca="1">IFERROR(INDEX('Macro Data Input'!$B$4:$I$48,$A9,G$6),NA())</f>
        <v>6.1396031303982301E-2</v>
      </c>
      <c r="H9" s="3">
        <f ca="1">IFERROR(G9-F9,"")</f>
        <v>6.0442173034358504E-4</v>
      </c>
    </row>
    <row r="10" spans="1:9" ht="19.5" customHeight="1" x14ac:dyDescent="0.3">
      <c r="A10">
        <f>MATCH(B10,'Macro Data Input'!$B$4:$B$45,0)</f>
        <v>24</v>
      </c>
      <c r="B10" t="str">
        <f>B38</f>
        <v>ფისკალური ბალანსი (% მშპ-თან)</v>
      </c>
      <c r="C10" s="43" t="e">
        <f ca="1">IFERROR(INDEX('Macro Data Input'!$B$4:$I$48,$A10,C$6),NA())</f>
        <v>#N/A</v>
      </c>
      <c r="D10" s="43">
        <f ca="1">IFERROR(INDEX('Macro Data Input'!$B$4:$I$48,$A10,D$6),NA())</f>
        <v>-2.6288632342195681E-2</v>
      </c>
      <c r="E10" s="43">
        <f ca="1">IFERROR(INDEX('Macro Data Input'!$B$4:$I$48,$A10,E$6),NA())</f>
        <v>-3.2142893921577889E-2</v>
      </c>
      <c r="F10" s="43">
        <f ca="1">IFERROR(INDEX('Macro Data Input'!$B$4:$I$48,$A10,F$6),NA())</f>
        <v>-2.946561965887887E-2</v>
      </c>
      <c r="G10" s="43">
        <f ca="1">IFERROR(INDEX('Macro Data Input'!$B$4:$I$48,$A10,G$6),NA())</f>
        <v>-3.1074910591508367E-2</v>
      </c>
      <c r="H10" s="3">
        <f ca="1">IFERROR(G10-F10,"")</f>
        <v>-1.6092909326294973E-3</v>
      </c>
    </row>
    <row r="11" spans="1:9" ht="19.5" customHeight="1" x14ac:dyDescent="0.3">
      <c r="A11">
        <f>MATCH(B11,'Macro Data Input'!$B$4:$B$45,0)</f>
        <v>36</v>
      </c>
      <c r="B11" t="str">
        <f>B50</f>
        <v>მიმდინარე ანგარიშის ბალანსი (% მშპ-თან)</v>
      </c>
      <c r="C11" s="43" t="e">
        <f ca="1">IFERROR(INDEX('Macro Data Input'!$B$4:$I$48,$A11,C$6),NA())</f>
        <v>#N/A</v>
      </c>
      <c r="D11" s="43">
        <f ca="1">IFERROR(INDEX('Macro Data Input'!$B$4:$I$48,$A11,D$6),NA())</f>
        <v>-5.7605713330967069E-2</v>
      </c>
      <c r="E11" s="43">
        <f ca="1">IFERROR(INDEX('Macro Data Input'!$B$4:$I$48,$A11,E$6),NA())</f>
        <v>-0.10570166322872367</v>
      </c>
      <c r="F11" s="43">
        <f ca="1">IFERROR(INDEX('Macro Data Input'!$B$4:$I$48,$A11,F$6),NA())</f>
        <v>-0.10714832517443933</v>
      </c>
      <c r="G11" s="43">
        <f ca="1">IFERROR(INDEX('Macro Data Input'!$B$4:$I$48,$A11,G$6),NA())</f>
        <v>-8.9848604434563578E-2</v>
      </c>
      <c r="H11" s="3">
        <f ca="1">IFERROR(G11-F11,"")</f>
        <v>1.7299720739875749E-2</v>
      </c>
    </row>
    <row r="12" spans="1:9" ht="19.5" customHeight="1" x14ac:dyDescent="0.3">
      <c r="A12">
        <f>MATCH(B12,'Macro Data Input'!$B$4:$B$45,0)</f>
        <v>7</v>
      </c>
      <c r="B12" t="str">
        <f>B21</f>
        <v>მშპ ერთ სულ მოსახლეზე დოლარი</v>
      </c>
      <c r="C12" s="63" t="e">
        <f ca="1">IFERROR(INDEX('Macro Data Input'!$B$4:$I$48,$A12,C$6),NA())</f>
        <v>#N/A</v>
      </c>
      <c r="D12" s="63">
        <f ca="1">IFERROR(INDEX('Macro Data Input'!$B$4:$I$48,$A12,D$6),NA())</f>
        <v>3599.7363530780895</v>
      </c>
      <c r="E12" s="63">
        <f ca="1">IFERROR(INDEX('Macro Data Input'!$B$4:$I$48,$A12,E$6),NA())</f>
        <v>3676.3743470635136</v>
      </c>
      <c r="F12" s="63">
        <f ca="1">IFERROR(INDEX('Macro Data Input'!$B$4:$I$48,$A12,F$6),NA())</f>
        <v>3766.7036070361478</v>
      </c>
      <c r="G12" s="63">
        <f ca="1">IFERROR(INDEX('Macro Data Input'!$B$4:$I$48,$A12,G$6),NA())</f>
        <v>3915.4805105417199</v>
      </c>
      <c r="H12" s="3">
        <f t="shared" ref="H12" ca="1" si="0">IFERROR(G12/F12-1,"")</f>
        <v>3.9497905603100625E-2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რეალური მთლიანი შიდა პროდუქტი</v>
      </c>
      <c r="C15" t="e">
        <f ca="1">IF(B15="",NA(),IFERROR(INDEX('Macro Data Input'!$B$4:$I$41,$A15,C$6),NA()))</f>
        <v>#N/A</v>
      </c>
      <c r="D15">
        <f ca="1">IF(B15="",NA(),IFERROR(INDEX('Macro Data Input'!$B$4:$I$41,$A15,D$6),NA()))</f>
        <v>3.3189156503413919E-2</v>
      </c>
      <c r="E15">
        <f ca="1">IF(B15="",NA(),IFERROR(INDEX('Macro Data Input'!$B$4:$I$41,$A15,E$6),NA()))</f>
        <v>4.7025417212964493E-2</v>
      </c>
      <c r="F15">
        <f ca="1">IF(B15="",NA(),IFERROR(INDEX('Macro Data Input'!$B$4:$I$41,$A15,F$6),NA()))</f>
        <v>0.03</v>
      </c>
      <c r="G15">
        <f ca="1">IF(B15="",NA(),IFERROR(INDEX('Macro Data Input'!$B$4:$I$41,$A15,G$6),NA()))</f>
        <v>3.4925977816220088E-2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სამომხმარებლო ფასების ინფლაცია</v>
      </c>
      <c r="C16" t="e">
        <f ca="1">IF(B16="",NA(),IFERROR(INDEX('Macro Data Input'!$B$4:$I$41,$A16,C$6),NA()))</f>
        <v>#N/A</v>
      </c>
      <c r="D16">
        <f ca="1">IF(B16="",NA(),IFERROR(INDEX('Macro Data Input'!$B$4:$I$41,$A16,D$6),NA()))</f>
        <v>-5.1236447597637902E-3</v>
      </c>
      <c r="E16">
        <f ca="1">IF(B16="",NA(),IFERROR(INDEX('Macro Data Input'!$B$4:$I$41,$A16,E$6),NA()))</f>
        <v>3.068816273156405E-2</v>
      </c>
      <c r="F16">
        <f ca="1">IF(B16="",NA(),IFERROR(INDEX('Macro Data Input'!$B$4:$I$41,$A16,F$6),NA()))</f>
        <v>4.0035773260675311E-2</v>
      </c>
      <c r="G16">
        <f ca="1">IF(B16="",NA(),IFERROR(INDEX('Macro Data Input'!$B$4:$I$41,$A16,G$6),NA()))</f>
        <v>5.1715151312750951E-2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მშპ-ს დეფლატორი</v>
      </c>
      <c r="C17" t="e">
        <f ca="1">IF(B17="",NA(),IFERROR(INDEX('Macro Data Input'!$B$4:$I$41,$A17,C$6),NA()))</f>
        <v>#N/A</v>
      </c>
      <c r="D17">
        <f ca="1">IF(B17="",NA(),IFERROR(INDEX('Macro Data Input'!$B$4:$I$41,$A17,D$6),NA()))</f>
        <v>-7.2209019783617823E-3</v>
      </c>
      <c r="E17">
        <f ca="1">IF(B17="",NA(),IFERROR(INDEX('Macro Data Input'!$B$4:$I$41,$A17,E$6),NA()))</f>
        <v>3.6857892185238272E-2</v>
      </c>
      <c r="F17">
        <f ca="1">IF(B17="",NA(),IFERROR(INDEX('Macro Data Input'!$B$4:$I$41,$A17,F$6),NA()))</f>
        <v>6.0791609573638716E-2</v>
      </c>
      <c r="G17">
        <f ca="1">IF(B17="",NA(),IFERROR(INDEX('Macro Data Input'!$B$4:$I$41,$A17,G$6),NA()))</f>
        <v>6.1396031303982301E-2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ნომინალური მშპ მლნ ლარი</v>
      </c>
      <c r="C18" t="e">
        <f ca="1">IF(B18="",NA(),IFERROR(INDEX('Macro Data Input'!$B$4:$I$41,$A18,C$6),NA()))</f>
        <v>#N/A</v>
      </c>
      <c r="D18">
        <f ca="1">IF(B18="",NA(),IFERROR(INDEX('Macro Data Input'!$B$4:$I$41,$A18,D$6),NA()))</f>
        <v>26847.354249055072</v>
      </c>
      <c r="E18">
        <f ca="1">IF(B18="",NA(),IFERROR(INDEX('Macro Data Input'!$B$4:$I$41,$A18,E$6),NA()))</f>
        <v>29150.481302203254</v>
      </c>
      <c r="F18">
        <f ca="1">IF(B18="",NA(),IFERROR(INDEX('Macro Data Input'!$B$4:$I$41,$A18,F$6),NA()))</f>
        <v>31876.671272195799</v>
      </c>
      <c r="G18">
        <f ca="1">IF(B18="",NA(),IFERROR(INDEX('Macro Data Input'!$B$4:$I$41,$A18,G$6),NA()))</f>
        <v>35015.636163966294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ნომინალური მშპ მლნ აშშ დოლარი</v>
      </c>
      <c r="C19" t="e">
        <f ca="1">IF(B19="",NA(),IFERROR(INDEX('Macro Data Input'!$B$4:$I$41,$A19,C$6),NA()))</f>
        <v>#N/A</v>
      </c>
      <c r="D19">
        <f ca="1">IF(B19="",NA(),IFERROR(INDEX('Macro Data Input'!$B$4:$I$41,$A19,D$6),NA()))</f>
        <v>16140.49785993154</v>
      </c>
      <c r="E19">
        <f ca="1">IF(B19="",NA(),IFERROR(INDEX('Macro Data Input'!$B$4:$I$41,$A19,E$6),NA()))</f>
        <v>16508.759005488708</v>
      </c>
      <c r="F19">
        <f ca="1">IF(B19="",NA(),IFERROR(INDEX('Macro Data Input'!$B$4:$I$41,$A19,F$6),NA()))</f>
        <v>14047.921102441313</v>
      </c>
      <c r="G19">
        <f ca="1">IF(B19="",NA(),IFERROR(INDEX('Macro Data Input'!$B$4:$I$41,$A19,G$6),NA()))</f>
        <v>14602.784564065343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მშპ ერთ სულ მოსახლეზე ლარი</v>
      </c>
      <c r="C20" t="e">
        <f ca="1">IF(B20="",NA(),IFERROR(INDEX('Macro Data Input'!$B$4:$I$41,$A20,C$6),NA()))</f>
        <v>#N/A</v>
      </c>
      <c r="D20">
        <f ca="1">IF(B20="",NA(),IFERROR(INDEX('Macro Data Input'!$B$4:$I$41,$A20,D$6),NA()))</f>
        <v>5987.63420515078</v>
      </c>
      <c r="E20">
        <f ca="1">IF(B20="",NA(),IFERROR(INDEX('Macro Data Input'!$B$4:$I$41,$A20,E$6),NA()))</f>
        <v>6491.5891999116475</v>
      </c>
      <c r="F20">
        <f ca="1">IF(B20="",NA(),IFERROR(INDEX('Macro Data Input'!$B$4:$I$41,$A20,F$6),NA()))</f>
        <v>8547.1702030287706</v>
      </c>
      <c r="G20">
        <f ca="1">IF(B20="",NA(),IFERROR(INDEX('Macro Data Input'!$B$4:$I$41,$A20,G$6),NA()))</f>
        <v>9388.8285732581571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მშპ ერთ სულ მოსახლეზე დოლარი</v>
      </c>
      <c r="C21" t="e">
        <f ca="1">IF(B21="",NA(),IFERROR(INDEX('Macro Data Input'!$B$4:$I$41,$A21,C$6),NA()))</f>
        <v>#N/A</v>
      </c>
      <c r="D21">
        <f ca="1">IF(B21="",NA(),IFERROR(INDEX('Macro Data Input'!$B$4:$I$41,$A21,D$6),NA()))</f>
        <v>3599.7363530780895</v>
      </c>
      <c r="E21">
        <f ca="1">IF(B21="",NA(),IFERROR(INDEX('Macro Data Input'!$B$4:$I$41,$A21,E$6),NA()))</f>
        <v>3676.3743470635136</v>
      </c>
      <c r="F21">
        <f ca="1">IF(B21="",NA(),IFERROR(INDEX('Macro Data Input'!$B$4:$I$41,$A21,F$6),NA()))</f>
        <v>3766.7036070361478</v>
      </c>
      <c r="G21">
        <f ca="1">IF(B21="",NA(),IFERROR(INDEX('Macro Data Input'!$B$4:$I$41,$A21,G$6),NA()))</f>
        <v>3915.4805105417199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აბსორბცია</v>
      </c>
      <c r="C22" t="e">
        <f ca="1">IF(B22="",NA(),IFERROR(INDEX('Macro Data Input'!$B$4:$I$41,$A22,C$6),NA()))</f>
        <v>#N/A</v>
      </c>
      <c r="D22">
        <f ca="1">IF(B22="",NA(),IFERROR(INDEX('Macro Data Input'!$B$4:$I$41,$A22,D$6),NA()))</f>
        <v>30324.663857422169</v>
      </c>
      <c r="E22">
        <f ca="1">IF(B22="",NA(),IFERROR(INDEX('Macro Data Input'!$B$4:$I$41,$A22,E$6),NA()))</f>
        <v>34259.549574719094</v>
      </c>
      <c r="F22">
        <f ca="1">IF(B22="",NA(),IFERROR(INDEX('Macro Data Input'!$B$4:$I$41,$A22,F$6),NA()))</f>
        <v>37802.385188586457</v>
      </c>
      <c r="G22">
        <f ca="1">IF(B22="",NA(),IFERROR(INDEX('Macro Data Input'!$B$4:$I$41,$A22,G$6),NA()))</f>
        <v>40263.680422921338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მოხმარება</v>
      </c>
      <c r="C23" t="e">
        <f ca="1">IF(B23="",NA(),IFERROR(INDEX('Macro Data Input'!$B$4:$I$41,$A23,C$6),NA()))</f>
        <v>#N/A</v>
      </c>
      <c r="D23">
        <f ca="1">IF(B23="",NA(),IFERROR(INDEX('Macro Data Input'!$B$4:$I$41,$A23,D$6),NA()))</f>
        <v>23671.752066170739</v>
      </c>
      <c r="E23">
        <f ca="1">IF(B23="",NA(),IFERROR(INDEX('Macro Data Input'!$B$4:$I$41,$A23,E$6),NA()))</f>
        <v>25570.696804347208</v>
      </c>
      <c r="F23">
        <f ca="1">IF(B23="",NA(),IFERROR(INDEX('Macro Data Input'!$B$4:$I$41,$A23,F$6),NA()))</f>
        <v>27849.088764131142</v>
      </c>
      <c r="G23">
        <f ca="1">IF(B23="",NA(),IFERROR(INDEX('Macro Data Input'!$B$4:$I$41,$A23,G$6),NA()))</f>
        <v>29798.488010372137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კერძო</v>
      </c>
      <c r="C24" t="e">
        <f ca="1">IF(B24="",NA(),IFERROR(INDEX('Macro Data Input'!$B$4:$I$41,$A24,C$6),NA()))</f>
        <v>#N/A</v>
      </c>
      <c r="D24">
        <f ca="1">IF(B24="",NA(),IFERROR(INDEX('Macro Data Input'!$B$4:$I$41,$A24,D$6),NA()))</f>
        <v>21265.752066170735</v>
      </c>
      <c r="E24">
        <f ca="1">IF(B24="",NA(),IFERROR(INDEX('Macro Data Input'!$B$4:$I$41,$A24,E$6),NA()))</f>
        <v>22905.196804347208</v>
      </c>
      <c r="F24">
        <f ca="1">IF(B24="",NA(),IFERROR(INDEX('Macro Data Input'!$B$4:$I$41,$A24,F$6),NA()))</f>
        <v>25027.329203445071</v>
      </c>
      <c r="G24">
        <f ca="1">IF(B24="",NA(),IFERROR(INDEX('Macro Data Input'!$B$4:$I$41,$A24,G$6),NA()))</f>
        <v>26888.488010372141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სახელმწიფო</v>
      </c>
      <c r="C25" t="e">
        <f ca="1">IF(B25="",NA(),IFERROR(INDEX('Macro Data Input'!$B$4:$I$41,$A25,C$6),NA()))</f>
        <v>#N/A</v>
      </c>
      <c r="D25">
        <f ca="1">IF(B25="",NA(),IFERROR(INDEX('Macro Data Input'!$B$4:$I$41,$A25,D$6),NA()))</f>
        <v>2406</v>
      </c>
      <c r="E25">
        <f ca="1">IF(B25="",NA(),IFERROR(INDEX('Macro Data Input'!$B$4:$I$41,$A25,E$6),NA()))</f>
        <v>2665.5</v>
      </c>
      <c r="F25">
        <f ca="1">IF(B25="",NA(),IFERROR(INDEX('Macro Data Input'!$B$4:$I$41,$A25,F$6),NA()))</f>
        <v>2821.7595606860732</v>
      </c>
      <c r="G25">
        <f ca="1">IF(B25="",NA(),IFERROR(INDEX('Macro Data Input'!$B$4:$I$41,$A25,G$6),NA()))</f>
        <v>2910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ინვესტიციები</v>
      </c>
      <c r="C26" t="e">
        <f ca="1">IF(B26="",NA(),IFERROR(INDEX('Macro Data Input'!$B$4:$I$41,$A26,C$6),NA()))</f>
        <v>#N/A</v>
      </c>
      <c r="D26">
        <f ca="1">IF(B26="",NA(),IFERROR(INDEX('Macro Data Input'!$B$4:$I$41,$A26,D$6),NA()))</f>
        <v>6652.9117912514312</v>
      </c>
      <c r="E26">
        <f ca="1">IF(B26="",NA(),IFERROR(INDEX('Macro Data Input'!$B$4:$I$41,$A26,E$6),NA()))</f>
        <v>8688.8527703718883</v>
      </c>
      <c r="F26">
        <f ca="1">IF(B26="",NA(),IFERROR(INDEX('Macro Data Input'!$B$4:$I$41,$A26,F$6),NA()))</f>
        <v>9953.296424455315</v>
      </c>
      <c r="G26">
        <f ca="1">IF(B26="",NA(),IFERROR(INDEX('Macro Data Input'!$B$4:$I$41,$A26,G$6),NA()))</f>
        <v>10465.192412549201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კერძო</v>
      </c>
      <c r="C27" t="e">
        <f ca="1">IF(B27="",NA(),IFERROR(INDEX('Macro Data Input'!$B$4:$I$41,$A27,C$6),NA()))</f>
        <v>#N/A</v>
      </c>
      <c r="D27">
        <f ca="1">IF(B27="",NA(),IFERROR(INDEX('Macro Data Input'!$B$4:$I$41,$A27,D$6),NA()))</f>
        <v>5261.3837121914312</v>
      </c>
      <c r="E27">
        <f ca="1">IF(B27="",NA(),IFERROR(INDEX('Macro Data Input'!$B$4:$I$41,$A27,E$6),NA()))</f>
        <v>7244.9136180094893</v>
      </c>
      <c r="F27">
        <f ca="1">IF(B27="",NA(),IFERROR(INDEX('Macro Data Input'!$B$4:$I$41,$A27,F$6),NA()))</f>
        <v>7896.2454964115186</v>
      </c>
      <c r="G27">
        <f ca="1">IF(B27="",NA(),IFERROR(INDEX('Macro Data Input'!$B$4:$I$41,$A27,G$6),NA()))</f>
        <v>8744.1924125492023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სახელმწიფო</v>
      </c>
      <c r="C28" t="e">
        <f ca="1">IF(B28="",NA(),IFERROR(INDEX('Macro Data Input'!$B$4:$I$41,$A28,C$6),NA()))</f>
        <v>#N/A</v>
      </c>
      <c r="D28">
        <f ca="1">IF(B28="",NA(),IFERROR(INDEX('Macro Data Input'!$B$4:$I$41,$A28,D$6),NA()))</f>
        <v>1391.5280790600004</v>
      </c>
      <c r="E28">
        <f ca="1">IF(B28="",NA(),IFERROR(INDEX('Macro Data Input'!$B$4:$I$41,$A28,E$6),NA()))</f>
        <v>1443.9391523623997</v>
      </c>
      <c r="F28">
        <f ca="1">IF(B28="",NA(),IFERROR(INDEX('Macro Data Input'!$B$4:$I$41,$A28,F$6),NA()))</f>
        <v>2057.0509280437968</v>
      </c>
      <c r="G28">
        <f ca="1">IF(B28="",NA(),IFERROR(INDEX('Macro Data Input'!$B$4:$I$41,$A28,G$6),NA()))</f>
        <v>1721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შემოსავლები და გრანტები</v>
      </c>
      <c r="C29" t="e">
        <f ca="1">IF(B29="",NA(),IFERROR(INDEX('Macro Data Input'!$B$4:$I$41,$A29,C$6),NA()))</f>
        <v>#N/A</v>
      </c>
      <c r="D29">
        <f ca="1">IF(B29="",NA(),IFERROR(INDEX('Macro Data Input'!$B$4:$I$41,$A29,D$6),NA()))</f>
        <v>7434.1547619677067</v>
      </c>
      <c r="E29">
        <f ca="1">IF(B29="",NA(),IFERROR(INDEX('Macro Data Input'!$B$4:$I$41,$A29,E$6),NA()))</f>
        <v>8118.8366391870004</v>
      </c>
      <c r="F29">
        <f ca="1">IF(B29="",NA(),IFERROR(INDEX('Macro Data Input'!$B$4:$I$41,$A29,F$6),NA()))</f>
        <v>8910.7641094575138</v>
      </c>
      <c r="G29">
        <f ca="1">IF(B29="",NA(),IFERROR(INDEX('Macro Data Input'!$B$4:$I$41,$A29,G$6),NA()))</f>
        <v>9538.551931321661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საგადასახადო შემოსავლები</v>
      </c>
      <c r="C30" t="e">
        <f ca="1">IF(B30="",NA(),IFERROR(INDEX('Macro Data Input'!$B$4:$I$41,$A30,C$6),NA()))</f>
        <v>#N/A</v>
      </c>
      <c r="D30">
        <f ca="1">IF(B30="",NA(),IFERROR(INDEX('Macro Data Input'!$B$4:$I$41,$A30,D$6),NA()))</f>
        <v>6659.393661967707</v>
      </c>
      <c r="E30">
        <f ca="1">IF(B30="",NA(),IFERROR(INDEX('Macro Data Input'!$B$4:$I$41,$A30,E$6),NA()))</f>
        <v>7241.5766391870002</v>
      </c>
      <c r="F30">
        <f ca="1">IF(B30="",NA(),IFERROR(INDEX('Macro Data Input'!$B$4:$I$41,$A30,F$6),NA()))</f>
        <v>7998.1238808426515</v>
      </c>
      <c r="G30">
        <f ca="1">IF(B30="",NA(),IFERROR(INDEX('Macro Data Input'!$B$4:$I$41,$A30,G$6),NA()))</f>
        <v>8639.4772960729442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პირდაპირი გადასახადები</v>
      </c>
      <c r="C31" t="e">
        <f ca="1">IF(B31="",NA(),IFERROR(INDEX('Macro Data Input'!$B$4:$I$41,$A31,C$6),NA()))</f>
        <v>#N/A</v>
      </c>
      <c r="D31">
        <f ca="1">IF(B31="",NA(),IFERROR(INDEX('Macro Data Input'!$B$4:$I$41,$A31,D$6),NA()))</f>
        <v>2999.9481359800002</v>
      </c>
      <c r="E31">
        <f ca="1">IF(B31="",NA(),IFERROR(INDEX('Macro Data Input'!$B$4:$I$41,$A31,E$6),NA()))</f>
        <v>3037.9493206800003</v>
      </c>
      <c r="F31">
        <f ca="1">IF(B31="",NA(),IFERROR(INDEX('Macro Data Input'!$B$4:$I$41,$A31,F$6),NA()))</f>
        <v>3552.6312838273711</v>
      </c>
      <c r="G31">
        <f ca="1">IF(B31="",NA(),IFERROR(INDEX('Macro Data Input'!$B$4:$I$41,$A31,G$6),NA()))</f>
        <v>3731.8067714778344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არაპირდაპირი გადასახადები</v>
      </c>
      <c r="C32" t="e">
        <f ca="1">IF(B32="",NA(),IFERROR(INDEX('Macro Data Input'!$B$4:$I$41,$A32,C$6),NA()))</f>
        <v>#N/A</v>
      </c>
      <c r="D32">
        <f ca="1">IF(B32="",NA(),IFERROR(INDEX('Macro Data Input'!$B$4:$I$41,$A32,D$6),NA()))</f>
        <v>3659.4455259877068</v>
      </c>
      <c r="E32">
        <f ca="1">IF(B32="",NA(),IFERROR(INDEX('Macro Data Input'!$B$4:$I$41,$A32,E$6),NA()))</f>
        <v>4203.6273185069995</v>
      </c>
      <c r="F32">
        <f ca="1">IF(B32="",NA(),IFERROR(INDEX('Macro Data Input'!$B$4:$I$41,$A32,F$6),NA()))</f>
        <v>4445.4925970152799</v>
      </c>
      <c r="G32">
        <f ca="1">IF(B32="",NA(),IFERROR(INDEX('Macro Data Input'!$B$4:$I$41,$A32,G$6),NA()))</f>
        <v>4907.6705245951098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ხარჯები და არაფინანსური აქტივების ზრდა</v>
      </c>
      <c r="C33" t="e">
        <f ca="1">IF(B33="",NA(),IFERROR(INDEX('Macro Data Input'!$B$4:$I$41,$A33,C$6),NA()))</f>
        <v>#N/A</v>
      </c>
      <c r="D33">
        <f ca="1">IF(B33="",NA(),IFERROR(INDEX('Macro Data Input'!$B$4:$I$41,$A33,D$6),NA()))</f>
        <v>7860.9439137400004</v>
      </c>
      <c r="E33">
        <f ca="1">IF(B33="",NA(),IFERROR(INDEX('Macro Data Input'!$B$4:$I$41,$A33,E$6),NA()))</f>
        <v>8813.2728009435996</v>
      </c>
      <c r="F33">
        <f ca="1">IF(B33="",NA(),IFERROR(INDEX('Macro Data Input'!$B$4:$I$41,$A33,F$6),NA()))</f>
        <v>9448.106562439616</v>
      </c>
      <c r="G33">
        <f ca="1">IF(B33="",NA(),IFERROR(INDEX('Macro Data Input'!$B$4:$I$41,$A33,G$6),NA()))</f>
        <v>10251.03784146527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მიმდინარე ხარჯები</v>
      </c>
      <c r="C34" t="e">
        <f ca="1">IF(B34="",NA(),IFERROR(INDEX('Macro Data Input'!$B$4:$I$41,$A34,C$6),NA()))</f>
        <v>#N/A</v>
      </c>
      <c r="D34">
        <f ca="1">IF(B34="",NA(),IFERROR(INDEX('Macro Data Input'!$B$4:$I$41,$A34,D$6),NA()))</f>
        <v>6469.4158346799995</v>
      </c>
      <c r="E34">
        <f ca="1">IF(B34="",NA(),IFERROR(INDEX('Macro Data Input'!$B$4:$I$41,$A34,E$6),NA()))</f>
        <v>7369.3336485812006</v>
      </c>
      <c r="F34">
        <f ca="1">IF(B34="",NA(),IFERROR(INDEX('Macro Data Input'!$B$4:$I$41,$A34,F$6),NA()))</f>
        <v>7768.106562439616</v>
      </c>
      <c r="G34">
        <f ca="1">IF(B34="",NA(),IFERROR(INDEX('Macro Data Input'!$B$4:$I$41,$A34,G$6),NA()))</f>
        <v>8530.0378414652696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კაპიტალური ხარჯები</v>
      </c>
      <c r="C35" t="e">
        <f ca="1">IF(B35="",NA(),IFERROR(INDEX('Macro Data Input'!$B$4:$I$41,$A35,C$6),NA()))</f>
        <v>#N/A</v>
      </c>
      <c r="D35">
        <f ca="1">IF(B35="",NA(),IFERROR(INDEX('Macro Data Input'!$B$4:$I$41,$A35,D$6),NA()))</f>
        <v>1391.5280790600004</v>
      </c>
      <c r="E35">
        <f ca="1">IF(B35="",NA(),IFERROR(INDEX('Macro Data Input'!$B$4:$I$41,$A35,E$6),NA()))</f>
        <v>1443.9391523623997</v>
      </c>
      <c r="F35">
        <f ca="1">IF(B35="",NA(),IFERROR(INDEX('Macro Data Input'!$B$4:$I$41,$A35,F$6),NA()))</f>
        <v>1680.0000000000002</v>
      </c>
      <c r="G35">
        <f ca="1">IF(B35="",NA(),IFERROR(INDEX('Macro Data Input'!$B$4:$I$41,$A35,G$6),NA()))</f>
        <v>1721</v>
      </c>
    </row>
    <row r="36" spans="1:7" x14ac:dyDescent="0.3">
      <c r="A36">
        <f>ROWS($B$15:B36)</f>
        <v>22</v>
      </c>
      <c r="B36" t="str">
        <f>IF('Macro Data Input'!B25=0,"",'Macro Data Input'!B25)</f>
        <v>საოპერაციო სალდო (% მშპ-თან)</v>
      </c>
      <c r="C36" t="e">
        <f ca="1">IF(B36="",NA(),IFERROR(INDEX('Macro Data Input'!$B$4:$I$41,$A36,C$6),NA()))</f>
        <v>#N/A</v>
      </c>
      <c r="D36">
        <f ca="1">IF(B36="",NA(),IFERROR(INDEX('Macro Data Input'!$B$4:$I$41,$A36,D$6),NA()))</f>
        <v>3.5934227199377118E-2</v>
      </c>
      <c r="E36">
        <f ca="1">IF(B36="",NA(),IFERROR(INDEX('Macro Data Input'!$B$4:$I$41,$A36,E$6),NA()))</f>
        <v>2.5730404006129692E-2</v>
      </c>
      <c r="F36">
        <f ca="1">IF(B36="",NA(),IFERROR(INDEX('Macro Data Input'!$B$4:$I$41,$A36,F$6),NA()))</f>
        <v>3.5846200415994275E-2</v>
      </c>
      <c r="G36">
        <f ca="1">IF(B36="",NA(),IFERROR(INDEX('Macro Data Input'!$B$4:$I$41,$A36,G$6),NA()))</f>
        <v>2.8801821138815343E-2</v>
      </c>
    </row>
    <row r="37" spans="1:7" x14ac:dyDescent="0.3">
      <c r="A37">
        <f>ROWS($B$15:B37)</f>
        <v>23</v>
      </c>
      <c r="B37" t="str">
        <f>IF('Macro Data Input'!B26=0,"",'Macro Data Input'!B26)</f>
        <v>მთლიანი სალდო (% მშპ-თან)</v>
      </c>
      <c r="C37" t="e">
        <f ca="1">IF(B37="",NA(),IFERROR(INDEX('Macro Data Input'!$B$4:$I$41,$A37,C$6),NA()))</f>
        <v>#N/A</v>
      </c>
      <c r="D37">
        <f ca="1">IF(B37="",NA(),IFERROR(INDEX('Macro Data Input'!$B$4:$I$41,$A37,D$6),NA()))</f>
        <v>-1.1215925186478699E-2</v>
      </c>
      <c r="E37">
        <f ca="1">IF(B37="",NA(),IFERROR(INDEX('Macro Data Input'!$B$4:$I$41,$A37,E$6),NA()))</f>
        <v>-1.9900996988950544E-2</v>
      </c>
      <c r="F37">
        <f ca="1">IF(B37="",NA(),IFERROR(INDEX('Macro Data Input'!$B$4:$I$41,$A37,F$6),NA()))</f>
        <v>-5.7202476201192679E-3</v>
      </c>
      <c r="G37">
        <f ca="1">IF(B37="",NA(),IFERROR(INDEX('Macro Data Input'!$B$4:$I$41,$A37,G$6),NA()))</f>
        <v>-1.2351222411565636E-2</v>
      </c>
    </row>
    <row r="38" spans="1:7" x14ac:dyDescent="0.3">
      <c r="A38">
        <f>ROWS($B$15:B38)</f>
        <v>24</v>
      </c>
      <c r="B38" t="str">
        <f>IF('Macro Data Input'!B27=0,"",'Macro Data Input'!B27)</f>
        <v>ფისკალური ბალანსი (% მშპ-თან)</v>
      </c>
      <c r="C38" t="e">
        <f ca="1">IF(B38="",NA(),IFERROR(INDEX('Macro Data Input'!$B$4:$I$41,$A38,C$6),NA()))</f>
        <v>#N/A</v>
      </c>
      <c r="D38">
        <f ca="1">IF(B38="",NA(),IFERROR(INDEX('Macro Data Input'!$B$4:$I$41,$A38,D$6),NA()))</f>
        <v>-2.6288632342195681E-2</v>
      </c>
      <c r="E38">
        <f ca="1">IF(B38="",NA(),IFERROR(INDEX('Macro Data Input'!$B$4:$I$41,$A38,E$6),NA()))</f>
        <v>-3.2142893921577889E-2</v>
      </c>
      <c r="F38">
        <f ca="1">IF(B38="",NA(),IFERROR(INDEX('Macro Data Input'!$B$4:$I$41,$A38,F$6),NA()))</f>
        <v>-2.946561965887887E-2</v>
      </c>
      <c r="G38">
        <f ca="1">IF(B38="",NA(),IFERROR(INDEX('Macro Data Input'!$B$4:$I$41,$A38,G$6),NA()))</f>
        <v>-3.1074910591508367E-2</v>
      </c>
    </row>
    <row r="39" spans="1:7" x14ac:dyDescent="0.3">
      <c r="A39">
        <f>ROWS($B$15:B39)</f>
        <v>25</v>
      </c>
      <c r="B39" t="str">
        <f>IF('Macro Data Input'!B28=0,"",'Macro Data Input'!B28)</f>
        <v>სახელმწიფო ვალი (% მშპ-თან)</v>
      </c>
      <c r="C39" t="e">
        <f ca="1">IF(B39="",NA(),IFERROR(INDEX('Macro Data Input'!$B$4:$I$41,$A39,C$6),NA()))</f>
        <v>#N/A</v>
      </c>
      <c r="D39">
        <f ca="1">IF(B39="",NA(),IFERROR(INDEX('Macro Data Input'!$B$4:$I$41,$A39,D$6),NA()))</f>
        <v>0.34688251428454175</v>
      </c>
      <c r="E39">
        <f ca="1">IF(B39="",NA(),IFERROR(INDEX('Macro Data Input'!$B$4:$I$41,$A39,E$6),NA()))</f>
        <v>0.3566714197619153</v>
      </c>
      <c r="F39">
        <f ca="1">IF(B39="",NA(),IFERROR(INDEX('Macro Data Input'!$B$4:$I$41,$A39,F$6),NA()))</f>
        <v>0.41321217003887833</v>
      </c>
      <c r="G39">
        <f ca="1">IF(B39="",NA(),IFERROR(INDEX('Macro Data Input'!$B$4:$I$41,$A39,G$6),NA()))</f>
        <v>0.41625399383716383</v>
      </c>
    </row>
    <row r="40" spans="1:7" x14ac:dyDescent="0.3">
      <c r="A40">
        <f>ROWS($B$15:B40)</f>
        <v>26</v>
      </c>
      <c r="B40" t="str">
        <f>IF('Macro Data Input'!B29=0,"",'Macro Data Input'!B29)</f>
        <v>საგარეო (% მშპ-თან)</v>
      </c>
      <c r="C40" t="e">
        <f ca="1">IF(B40="",NA(),IFERROR(INDEX('Macro Data Input'!$B$4:$I$41,$A40,C$6),NA()))</f>
        <v>#N/A</v>
      </c>
      <c r="D40">
        <f ca="1">IF(B40="",NA(),IFERROR(INDEX('Macro Data Input'!$B$4:$I$41,$A40,D$6),NA()))</f>
        <v>0.27175779319322652</v>
      </c>
      <c r="E40">
        <f ca="1">IF(B40="",NA(),IFERROR(INDEX('Macro Data Input'!$B$4:$I$41,$A40,E$6),NA()))</f>
        <v>0.2684944880209727</v>
      </c>
      <c r="F40">
        <f ca="1">IF(B40="",NA(),IFERROR(INDEX('Macro Data Input'!$B$4:$I$41,$A40,F$6),NA()))</f>
        <v>0.32522069688099431</v>
      </c>
      <c r="G40">
        <f ca="1">IF(B40="",NA(),IFERROR(INDEX('Macro Data Input'!$B$4:$I$41,$A40,G$6),NA()))</f>
        <v>0.33113670422813096</v>
      </c>
    </row>
    <row r="41" spans="1:7" x14ac:dyDescent="0.3">
      <c r="A41">
        <f>ROWS($B$15:B41)</f>
        <v>27</v>
      </c>
      <c r="B41" t="str">
        <f>IF('Macro Data Input'!B30=0,"",'Macro Data Input'!B30)</f>
        <v>საშინაო (% მშპ-თან)</v>
      </c>
      <c r="C41" t="e">
        <f ca="1">IF(B41="",NA(),IFERROR(INDEX('Macro Data Input'!$B$4:$I$41,$A41,C$6),NA()))</f>
        <v>#N/A</v>
      </c>
      <c r="D41">
        <f ca="1">IF(B41="",NA(),IFERROR(INDEX('Macro Data Input'!$B$4:$I$41,$A41,D$6),NA()))</f>
        <v>7.5124721091315266E-2</v>
      </c>
      <c r="E41">
        <f ca="1">IF(B41="",NA(),IFERROR(INDEX('Macro Data Input'!$B$4:$I$41,$A41,E$6),NA()))</f>
        <v>8.8176931740942613E-2</v>
      </c>
      <c r="F41">
        <f ca="1">IF(B41="",NA(),IFERROR(INDEX('Macro Data Input'!$B$4:$I$41,$A41,F$6),NA()))</f>
        <v>9.0168025936895463E-2</v>
      </c>
      <c r="G41">
        <f ca="1">IF(B41="",NA(),IFERROR(INDEX('Macro Data Input'!$B$4:$I$41,$A41,G$6),NA()))</f>
        <v>8.5737982107451358E-2</v>
      </c>
    </row>
    <row r="42" spans="1:7" x14ac:dyDescent="0.3">
      <c r="A42">
        <f>ROWS($B$15:B42)</f>
        <v>28</v>
      </c>
      <c r="B42" t="str">
        <f>IF('Macro Data Input'!B31=0,"",'Macro Data Input'!B31)</f>
        <v>წმინდა უცხოური აქტივები</v>
      </c>
      <c r="C42" t="e">
        <f ca="1">IF(B42="",NA(),IFERROR(INDEX('Macro Data Input'!$B$4:$I$41,$A42,C$6),NA()))</f>
        <v>#N/A</v>
      </c>
      <c r="D42">
        <f ca="1">IF(B42="",NA(),IFERROR(INDEX('Macro Data Input'!$B$4:$I$41,$A42,D$6),NA()))</f>
        <v>1195.2198558058453</v>
      </c>
      <c r="E42">
        <f ca="1">IF(B42="",NA(),IFERROR(INDEX('Macro Data Input'!$B$4:$I$41,$A42,E$6),NA()))</f>
        <v>923.30328697508548</v>
      </c>
      <c r="F42">
        <f ca="1">IF(B42="",NA(),IFERROR(INDEX('Macro Data Input'!$B$4:$I$41,$A42,F$6),NA()))</f>
        <v>811.09409839940383</v>
      </c>
      <c r="G42">
        <f ca="1">IF(B42="",NA(),IFERROR(INDEX('Macro Data Input'!$B$4:$I$41,$A42,G$6),NA()))</f>
        <v>1158.819981351983</v>
      </c>
    </row>
    <row r="43" spans="1:7" x14ac:dyDescent="0.3">
      <c r="A43">
        <f>ROWS($B$15:B43)</f>
        <v>29</v>
      </c>
      <c r="B43" t="str">
        <f>IF('Macro Data Input'!B32=0,"",'Macro Data Input'!B32)</f>
        <v>წმინდა საშინაო აქტივები</v>
      </c>
      <c r="C43" t="e">
        <f ca="1">IF(B43="",NA(),IFERROR(INDEX('Macro Data Input'!$B$4:$I$41,$A43,C$6),NA()))</f>
        <v>#N/A</v>
      </c>
      <c r="D43">
        <f ca="1">IF(B43="",NA(),IFERROR(INDEX('Macro Data Input'!$B$4:$I$41,$A43,D$6),NA()))</f>
        <v>8641.3987452150668</v>
      </c>
      <c r="E43">
        <f ca="1">IF(B43="",NA(),IFERROR(INDEX('Macro Data Input'!$B$4:$I$41,$A43,E$6),NA()))</f>
        <v>10266.532619375645</v>
      </c>
      <c r="F43">
        <f ca="1">IF(B43="",NA(),IFERROR(INDEX('Macro Data Input'!$B$4:$I$41,$A43,F$6),NA()))</f>
        <v>12954.933949747936</v>
      </c>
      <c r="G43">
        <f ca="1">IF(B43="",NA(),IFERROR(INDEX('Macro Data Input'!$B$4:$I$41,$A43,G$6),NA()))</f>
        <v>15023.893160228617</v>
      </c>
    </row>
    <row r="44" spans="1:7" x14ac:dyDescent="0.3">
      <c r="A44">
        <f>ROWS($B$15:B44)</f>
        <v>30</v>
      </c>
      <c r="B44" t="str">
        <f>IF('Macro Data Input'!B33=0,"",'Macro Data Input'!B33)</f>
        <v>ფართო ფული M3</v>
      </c>
      <c r="C44" t="e">
        <f ca="1">IF(B44="",NA(),IFERROR(INDEX('Macro Data Input'!$B$4:$I$41,$A44,C$6),NA()))</f>
        <v>#N/A</v>
      </c>
      <c r="D44">
        <f ca="1">IF(B44="",NA(),IFERROR(INDEX('Macro Data Input'!$B$4:$I$41,$A44,D$6),NA()))</f>
        <v>9836.6186010223573</v>
      </c>
      <c r="E44">
        <f ca="1">IF(B44="",NA(),IFERROR(INDEX('Macro Data Input'!$B$4:$I$41,$A44,E$6),NA()))</f>
        <v>11189.835906350731</v>
      </c>
      <c r="F44">
        <f ca="1">IF(B44="",NA(),IFERROR(INDEX('Macro Data Input'!$B$4:$I$41,$A44,F$6),NA()))</f>
        <v>13766.02804814734</v>
      </c>
      <c r="G44">
        <f ca="1">IF(B44="",NA(),IFERROR(INDEX('Macro Data Input'!$B$4:$I$41,$A44,G$6),NA()))</f>
        <v>16182.7131415806</v>
      </c>
    </row>
    <row r="45" spans="1:7" x14ac:dyDescent="0.3">
      <c r="A45">
        <f>ROWS($B$15:B45)</f>
        <v>31</v>
      </c>
      <c r="B45" t="str">
        <f>IF('Macro Data Input'!B34=0,"",'Macro Data Input'!B34)</f>
        <v>ფართო ფული M2</v>
      </c>
      <c r="C45" t="e">
        <f ca="1">IF(B45="",NA(),IFERROR(INDEX('Macro Data Input'!$B$4:$I$41,$A45,C$6),NA()))</f>
        <v>#N/A</v>
      </c>
      <c r="D45">
        <f ca="1">IF(B45="",NA(),IFERROR(INDEX('Macro Data Input'!$B$4:$I$41,$A45,D$6),NA()))</f>
        <v>5418.4025162175931</v>
      </c>
      <c r="E45">
        <f ca="1">IF(B45="",NA(),IFERROR(INDEX('Macro Data Input'!$B$4:$I$41,$A45,E$6),NA()))</f>
        <v>5911.3096916592704</v>
      </c>
      <c r="F45">
        <f ca="1">IF(B45="",NA(),IFERROR(INDEX('Macro Data Input'!$B$4:$I$41,$A45,F$6),NA()))</f>
        <v>5911.3093836592861</v>
      </c>
      <c r="G45">
        <f ca="1">IF(B45="",NA(),IFERROR(INDEX('Macro Data Input'!$B$4:$I$41,$A45,G$6),NA()))</f>
        <v>6626.0105871248516</v>
      </c>
    </row>
    <row r="46" spans="1:7" x14ac:dyDescent="0.3">
      <c r="A46">
        <f>ROWS($B$15:B46)</f>
        <v>32</v>
      </c>
      <c r="B46" t="str">
        <f>IF('Macro Data Input'!B35=0,"",'Macro Data Input'!B35)</f>
        <v>ფულის მიმოქცევის სიჩქარე M3</v>
      </c>
      <c r="C46" t="e">
        <f ca="1">IF(B46="",NA(),IFERROR(INDEX('Macro Data Input'!$B$4:$I$41,$A46,C$6),NA()))</f>
        <v>#N/A</v>
      </c>
      <c r="D46">
        <f ca="1">IF(B46="",NA(),IFERROR(INDEX('Macro Data Input'!$B$4:$I$41,$A46,D$6),NA()))</f>
        <v>2.6083453056994599</v>
      </c>
      <c r="E46">
        <f ca="1">IF(B46="",NA(),IFERROR(INDEX('Macro Data Input'!$B$4:$I$41,$A46,E$6),NA()))</f>
        <v>2.6031730943950087</v>
      </c>
      <c r="F46">
        <f ca="1">IF(B46="",NA(),IFERROR(INDEX('Macro Data Input'!$B$4:$I$41,$A46,F$6),NA()))</f>
        <v>2.3034708239585338</v>
      </c>
      <c r="G46">
        <f ca="1">IF(B46="",NA(),IFERROR(INDEX('Macro Data Input'!$B$4:$I$41,$A46,G$6),NA()))</f>
        <v>2.1605462831898588</v>
      </c>
    </row>
    <row r="47" spans="1:7" x14ac:dyDescent="0.3">
      <c r="A47">
        <f>ROWS($B$15:B47)</f>
        <v>33</v>
      </c>
      <c r="B47" t="str">
        <f>IF('Macro Data Input'!B36=0,"",'Macro Data Input'!B36)</f>
        <v>ფულის მიმოქცევის სიჩქარე M2</v>
      </c>
      <c r="C47" t="e">
        <f ca="1">IF(B47="",NA(),IFERROR(INDEX('Macro Data Input'!$B$4:$I$41,$A47,C$6),NA()))</f>
        <v>#N/A</v>
      </c>
      <c r="D47">
        <f ca="1">IF(B47="",NA(),IFERROR(INDEX('Macro Data Input'!$B$4:$I$41,$A47,D$6),NA()))</f>
        <v>4.9374770533608423</v>
      </c>
      <c r="E47">
        <f ca="1">IF(B47="",NA(),IFERROR(INDEX('Macro Data Input'!$B$4:$I$41,$A47,E$6),NA()))</f>
        <v>4.9276862965254393</v>
      </c>
      <c r="F47">
        <f ca="1">IF(B47="",NA(),IFERROR(INDEX('Macro Data Input'!$B$4:$I$41,$A47,F$6),NA()))</f>
        <v>5.3642335247005759</v>
      </c>
      <c r="G47">
        <f ca="1">IF(B47="",NA(),IFERROR(INDEX('Macro Data Input'!$B$4:$I$41,$A47,G$6),NA()))</f>
        <v>5.2767046279563754</v>
      </c>
    </row>
    <row r="48" spans="1:7" x14ac:dyDescent="0.3">
      <c r="A48">
        <f>ROWS($B$15:B48)</f>
        <v>34</v>
      </c>
      <c r="B48" t="str">
        <f>IF('Macro Data Input'!B37=0,"",'Macro Data Input'!B37)</f>
        <v>საქონლისა და მომსახურების ექსპორტი</v>
      </c>
      <c r="C48" t="e">
        <f ca="1">IF(B48="",NA(),IFERROR(INDEX('Macro Data Input'!$B$4:$I$41,$A48,C$6),NA()))</f>
        <v>#N/A</v>
      </c>
      <c r="D48">
        <f ca="1">IF(B48="",NA(),IFERROR(INDEX('Macro Data Input'!$B$4:$I$41,$A48,D$6),NA()))</f>
        <v>7209.7951429261739</v>
      </c>
      <c r="E48">
        <f ca="1">IF(B48="",NA(),IFERROR(INDEX('Macro Data Input'!$B$4:$I$41,$A48,E$6),NA()))</f>
        <v>7091.8197259087847</v>
      </c>
      <c r="F48">
        <f ca="1">IF(B48="",NA(),IFERROR(INDEX('Macro Data Input'!$B$4:$I$41,$A48,F$6),NA()))</f>
        <v>6353.7232755042132</v>
      </c>
      <c r="G48">
        <f ca="1">IF(B48="",NA(),IFERROR(INDEX('Macro Data Input'!$B$4:$I$41,$A48,G$6),NA()))</f>
        <v>7445.8881519630622</v>
      </c>
    </row>
    <row r="49" spans="1:7" x14ac:dyDescent="0.3">
      <c r="A49">
        <f>ROWS($B$15:B49)</f>
        <v>35</v>
      </c>
      <c r="B49" t="str">
        <f>IF('Macro Data Input'!B38=0,"",'Macro Data Input'!B38)</f>
        <v xml:space="preserve">საქონლისა და მომსახურების იმპორტი </v>
      </c>
      <c r="C49" t="e">
        <f ca="1">IF(B49="",NA(),IFERROR(INDEX('Macro Data Input'!$B$4:$I$41,$A49,C$6),NA()))</f>
        <v>#N/A</v>
      </c>
      <c r="D49">
        <f ca="1">IF(B49="",NA(),IFERROR(INDEX('Macro Data Input'!$B$4:$I$41,$A49,D$6),NA()))</f>
        <v>-9296.9570723100442</v>
      </c>
      <c r="E49">
        <f ca="1">IF(B49="",NA(),IFERROR(INDEX('Macro Data Input'!$B$4:$I$41,$A49,E$6),NA()))</f>
        <v>-10074.399109370013</v>
      </c>
      <c r="F49">
        <f ca="1">IF(B49="",NA(),IFERROR(INDEX('Macro Data Input'!$B$4:$I$41,$A49,F$6),NA()))</f>
        <v>-9033.9275951312629</v>
      </c>
      <c r="G49">
        <f ca="1">IF(B49="",NA(),IFERROR(INDEX('Macro Data Input'!$B$4:$I$41,$A49,G$6),NA()))</f>
        <v>-9634.5120952020188</v>
      </c>
    </row>
    <row r="50" spans="1:7" x14ac:dyDescent="0.3">
      <c r="A50">
        <f>ROWS($B$15:B50)</f>
        <v>36</v>
      </c>
      <c r="B50" t="str">
        <f>IF('Macro Data Input'!B39=0,"",'Macro Data Input'!B39)</f>
        <v>მიმდინარე ანგარიშის ბალანსი (% მშპ-თან)</v>
      </c>
      <c r="C50" t="e">
        <f ca="1">IF(B50="",NA(),IFERROR(INDEX('Macro Data Input'!$B$4:$I$41,$A50,C$6),NA()))</f>
        <v>#N/A</v>
      </c>
      <c r="D50">
        <f ca="1">IF(B50="",NA(),IFERROR(INDEX('Macro Data Input'!$B$4:$I$41,$A50,D$6),NA()))</f>
        <v>-5.7605713330967069E-2</v>
      </c>
      <c r="E50">
        <f ca="1">IF(B50="",NA(),IFERROR(INDEX('Macro Data Input'!$B$4:$I$41,$A50,E$6),NA()))</f>
        <v>-0.10570166322872367</v>
      </c>
      <c r="F50">
        <f ca="1">IF(B50="",NA(),IFERROR(INDEX('Macro Data Input'!$B$4:$I$41,$A50,F$6),NA()))</f>
        <v>-0.10714832517443933</v>
      </c>
      <c r="G50">
        <f ca="1">IF(B50="",NA(),IFERROR(INDEX('Macro Data Input'!$B$4:$I$41,$A50,G$6),NA()))</f>
        <v>-8.9848604434563578E-2</v>
      </c>
    </row>
    <row r="51" spans="1:7" x14ac:dyDescent="0.3">
      <c r="A51">
        <f>ROWS($B$15:B51)</f>
        <v>37</v>
      </c>
      <c r="B51" t="str">
        <f>IF('Macro Data Input'!B40=0,"",'Macro Data Input'!B40)</f>
        <v>ოფიციალური საერთაშორისო რეზერვები (მლნ აშშ დოლარი)</v>
      </c>
      <c r="C51" t="e">
        <f ca="1">IF(B51="",NA(),IFERROR(INDEX('Macro Data Input'!$B$4:$I$41,$A51,C$6),NA()))</f>
        <v>#N/A</v>
      </c>
      <c r="D51">
        <f ca="1">IF(B51="",NA(),IFERROR(INDEX('Macro Data Input'!$B$4:$I$41,$A51,D$6),NA()))</f>
        <v>2823.4223102112542</v>
      </c>
      <c r="E51">
        <f ca="1">IF(B51="",NA(),IFERROR(INDEX('Macro Data Input'!$B$4:$I$41,$A51,E$6),NA()))</f>
        <v>2699.1875607971638</v>
      </c>
      <c r="F51">
        <f ca="1">IF(B51="",NA(),IFERROR(INDEX('Macro Data Input'!$B$4:$I$41,$A51,F$6),NA()))</f>
        <v>2520.5842248410399</v>
      </c>
      <c r="G51">
        <f ca="1">IF(B51="",NA(),IFERROR(INDEX('Macro Data Input'!$B$4:$I$41,$A51,G$6),NA()))</f>
        <v>2569.2032253872053</v>
      </c>
    </row>
    <row r="52" spans="1:7" x14ac:dyDescent="0.3">
      <c r="A52">
        <f>ROWS($B$15:B52)</f>
        <v>38</v>
      </c>
      <c r="B52" t="str">
        <f>IF('Macro Data Input'!B41=0,"",'Macro Data Input'!B41)</f>
        <v>იმპორტის ჯერადი</v>
      </c>
      <c r="C52" t="e">
        <f ca="1">IF(B52="",NA(),IFERROR(INDEX('Macro Data Input'!$B$4:$I$41,$A52,C$6),NA()))</f>
        <v>#N/A</v>
      </c>
      <c r="D52">
        <f ca="1">IF(B52="",NA(),IFERROR(INDEX('Macro Data Input'!$B$4:$I$41,$A52,D$6),NA()))</f>
        <v>3.2927971981684974</v>
      </c>
      <c r="E52">
        <f ca="1">IF(B52="",NA(),IFERROR(INDEX('Macro Data Input'!$B$4:$I$41,$A52,E$6),NA()))</f>
        <v>3.2151049782651948</v>
      </c>
      <c r="F52">
        <f ca="1">IF(B52="",NA(),IFERROR(INDEX('Macro Data Input'!$B$4:$I$41,$A52,F$6),NA()))</f>
        <v>3.2</v>
      </c>
      <c r="G52">
        <f ca="1">IF(B52="",NA(),IFERROR(INDEX('Macro Data Input'!$B$4:$I$41,$A52,G$6),NA()))</f>
        <v>3.2</v>
      </c>
    </row>
  </sheetData>
  <sheetProtection algorithmName="SHA-512" hashValue="sT50MEuLkq75FfJzHzbNUkyF9EMVPuXYPez+BUPeS5JHwBxUO6ljU4unfQ+aTEbd2HnVfFrWOhXIkpBTGTm7Qg==" saltValue="Apiqrf787RR9tLCcyQYSr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მაკროეკონომიკური პროგნოზები</vt:lpstr>
      <vt:lpstr>Macro Data Input</vt:lpstr>
      <vt:lpstr>Calculations</vt:lpstr>
      <vt:lpstr>'მაკროეკონომიკური პროგნოზები'!Print_Area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Ketevani Gogolauri</cp:lastModifiedBy>
  <cp:revision/>
  <dcterms:created xsi:type="dcterms:W3CDTF">2013-12-05T14:43:36Z</dcterms:created>
  <dcterms:modified xsi:type="dcterms:W3CDTF">2017-07-28T06:06:44Z</dcterms:modified>
  <cp:category/>
  <cp:contentStatus/>
</cp:coreProperties>
</file>