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BO\MODEL\MODEL MACRO PBO\forecasts\10.Forecasts 2020_October\WEB_page\Georgian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62913"/>
</workbook>
</file>

<file path=xl/calcChain.xml><?xml version="1.0" encoding="utf-8"?>
<calcChain xmlns="http://schemas.openxmlformats.org/spreadsheetml/2006/main">
  <c r="E11" i="1" l="1"/>
  <c r="C11" i="1" l="1"/>
  <c r="D11" i="1" l="1"/>
  <c r="F11" i="1"/>
  <c r="G11" i="1"/>
  <c r="H11" i="1"/>
  <c r="I11" i="1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D15" i="3"/>
  <c r="F15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H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33" i="3" s="1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H33" i="3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<sst xmlns="http://schemas.openxmlformats.org/spreadsheetml/2006/main" count="54" uniqueCount="49">
  <si>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</si>
  <si>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</si>
  <si>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</si>
  <si>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</si>
  <si>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</si>
  <si>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</si>
  <si>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</si>
  <si>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</si>
  <si>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</si>
  <si>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</si>
  <si>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</si>
  <si>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</si>
  <si>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</si>
  <si>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</si>
  <si>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</si>
  <si>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</si>
  <si>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</si>
  <si>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</si>
  <si>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</si>
  <si>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</si>
  <si>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</si>
  <si>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</si>
  <si>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</si>
  <si>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</si>
  <si>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</si>
  <si>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</si>
  <si>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</si>
  <si>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</si>
  <si>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</si>
  <si>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</si>
  <si>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</si>
  <si>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</si>
  <si>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</si>
  <si>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</si>
  <si>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</si>
  <si>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</si>
  <si>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</si>
  <si>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</si>
  <si>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</si>
  <si>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</si>
  <si>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</si>
  <si>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</si>
  <si>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</si>
  <si>
    <t>კერძო სექტორის დაკრედიტება</t>
  </si>
  <si>
    <t>სავაჭრო ბალანსი (% მშპ-თან)</t>
  </si>
  <si>
    <t>წმინდა კერძო კაპიტალური და ფინანსური ნაკადები (მლნ აშშ დოლარი)</t>
  </si>
  <si>
    <t>ფართო ფული M3</t>
  </si>
  <si>
    <t xml:space="preserve">ფართო ფული M2 </t>
  </si>
  <si>
    <t>მთლიანი ეროვნული დანაზოგები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</si>
</sst>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0.0"/>
    <numFmt numFmtId="165" formatCode="0.0%"/>
  </numFmts>
  <fonts count="25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  <font>
      <sz val="10"/>
      <name val="Trebuchet MS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165" fontId="24" fillId="0" borderId="15" xfId="1" applyNumberFormat="1" applyFont="1" applyBorder="1" applyAlignment="1" applyProtection="1">
      <alignment horizontal="right" vertical="center"/>
      <protection locked="0"/>
    </xf>
    <xf numFmtId="165" fontId="24" fillId="0" borderId="15" xfId="1" applyNumberFormat="1" applyFont="1" applyBorder="1" applyAlignment="1" applyProtection="1">
      <alignment horizontal="right" vertical="center" indent="1"/>
      <protection locked="0"/>
    </xf>
    <xf numFmtId="165" fontId="24" fillId="0" borderId="0" xfId="1" applyNumberFormat="1" applyFont="1" applyBorder="1" applyAlignment="1" applyProtection="1">
      <alignment horizontal="right" vertical="center"/>
      <protection locked="0"/>
    </xf>
    <xf numFmtId="165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 applyBorder="1" applyAlignment="1" applyProtection="1">
      <alignment horizontal="right" vertical="center"/>
      <protection locked="0"/>
    </xf>
    <xf numFmtId="164" fontId="24" fillId="0" borderId="0" xfId="0" applyNumberFormat="1" applyFont="1" applyBorder="1" applyAlignment="1" applyProtection="1">
      <alignment horizontal="right" vertical="center" indent="1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>
      <alignment vertical="center"/>
    </xf>
    <xf numFmtId="2" fontId="24" fillId="0" borderId="0" xfId="1" applyNumberFormat="1" applyFont="1" applyBorder="1" applyAlignment="1" applyProtection="1">
      <alignment horizontal="right" vertical="center"/>
      <protection locked="0"/>
    </xf>
    <xf numFmtId="2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16" xfId="1" applyNumberFormat="1" applyFont="1" applyBorder="1" applyAlignment="1" applyProtection="1">
      <alignment horizontal="right" vertical="center"/>
      <protection locked="0"/>
    </xf>
    <xf numFmtId="2" fontId="24" fillId="0" borderId="16" xfId="1" applyNumberFormat="1" applyFont="1" applyBorder="1" applyAlignment="1" applyProtection="1">
      <alignment horizontal="right" vertical="center" indent="1"/>
      <protection locked="0"/>
    </xf>
    <xf numFmtId="2" fontId="24" fillId="0" borderId="0" xfId="1" applyNumberFormat="1" applyFont="1" applyAlignment="1">
      <alignment vertical="center"/>
    </xf>
    <xf numFmtId="165" fontId="24" fillId="0" borderId="0" xfId="1" applyNumberFormat="1" applyFont="1" applyAlignment="1">
      <alignment vertical="center"/>
    </xf>
    <xf numFmtId="164" fontId="24" fillId="7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23"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16" tableBorderDxfId="15">
  <tableColumns count="8">
    <tableColumn id="1" name="Column1" headerRowDxfId="14"/>
    <tableColumn id="2" name="Column2" headerRowDxfId="13" dataDxfId="12"/>
    <tableColumn id="3" name="Column3" headerRowDxfId="11" dataDxfId="10"/>
    <tableColumn id="4" name="Column4" headerRowDxfId="9" dataDxfId="8"/>
    <tableColumn id="5" name="Column5" headerRowDxfId="7" dataDxfId="6"/>
    <tableColumn id="6" name="Column6" headerRowDxfId="5" dataDxfId="4"/>
    <tableColumn id="7" name="Column7" headerRowDxfId="3" dataDxfId="2"/>
    <tableColumn id="10" name="Column10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H4" sqref="H4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0" t="s">
        <v>29</v>
      </c>
      <c r="C2" s="17"/>
      <c r="D2" s="17"/>
      <c r="E2" s="17"/>
      <c r="F2" s="17"/>
      <c r="G2" s="17"/>
      <c r="H2" s="17"/>
      <c r="I2" s="17"/>
      <c r="J2" s="18"/>
      <c r="K2" s="90">
        <v>2020</v>
      </c>
      <c r="L2" s="90"/>
      <c r="N2" s="56" t="s">
        <v>25</v>
      </c>
    </row>
    <row r="3" spans="2:14" ht="26.25" customHeight="1" x14ac:dyDescent="0.3">
      <c r="B3" s="47" t="s">
        <v>26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55"/>
    </row>
    <row r="4" spans="2:14" ht="24.75" customHeight="1" thickBot="1" x14ac:dyDescent="0.35">
      <c r="B4" s="65" t="s">
        <v>42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27</v>
      </c>
      <c r="C5" s="19"/>
      <c r="D5" s="46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54" t="str">
        <f>Calculations!B8</f>
        <v>რეალური მთლიანი შიდა პროდუქტი</v>
      </c>
      <c r="C7" s="21"/>
      <c r="D7" s="54" t="str">
        <f>Calculations!B9</f>
        <v>მშპ-ს დეფლატორი</v>
      </c>
      <c r="E7" s="21"/>
      <c r="F7" s="60" t="str">
        <f>Calculations!B10</f>
        <v>ფისკალური ბალანსი (% მშპ-თან)</v>
      </c>
      <c r="G7" s="21"/>
      <c r="H7" s="61" t="str">
        <f>Calculations!B11</f>
        <v>მიმდინარე ანგარიშის ბალანსი (% მშპ-თან)</v>
      </c>
      <c r="I7" s="21"/>
      <c r="J7" s="100" t="str">
        <f>Calculations!B12</f>
        <v>მშპ ერთ სულ მოსახლეზე დოლარი</v>
      </c>
      <c r="K7" s="100"/>
      <c r="L7" s="100"/>
      <c r="M7" s="8"/>
    </row>
    <row r="8" spans="2:14" ht="42" customHeight="1" x14ac:dyDescent="0.3">
      <c r="B8" s="39">
        <f ca="1">IFERROR(Calculations!G8,"")</f>
        <v>-5.2389597775168051E-2</v>
      </c>
      <c r="C8" s="22"/>
      <c r="D8" s="39">
        <f ca="1">IFERROR(Calculations!G9,"")</f>
        <v>5.631011264278718E-2</v>
      </c>
      <c r="E8" s="17"/>
      <c r="F8" s="39">
        <f ca="1">IFERROR(Calculations!G10,"")</f>
        <v>-7.694715335765788E-2</v>
      </c>
      <c r="G8" s="17"/>
      <c r="H8" s="39">
        <f ca="1">IFERROR(Calculations!G11,"")</f>
        <v>-6.5358140532885231E-2</v>
      </c>
      <c r="I8" s="23"/>
      <c r="J8" s="94">
        <f ca="1">IFERROR(Calculations!G12,"")</f>
        <v>4354.5887790748293</v>
      </c>
      <c r="K8" s="95"/>
      <c r="L8" s="96"/>
    </row>
    <row r="9" spans="2:14" s="4" customFormat="1" ht="18.75" customHeight="1" x14ac:dyDescent="0.3">
      <c r="B9" s="64"/>
      <c r="C9" s="24"/>
      <c r="D9" s="63"/>
      <c r="E9" s="25"/>
      <c r="F9" s="63"/>
      <c r="G9" s="25"/>
      <c r="H9" s="63"/>
      <c r="I9" s="26"/>
      <c r="J9" s="91"/>
      <c r="K9" s="92"/>
      <c r="L9" s="93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7"/>
      <c r="K10" s="98"/>
      <c r="L10" s="99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46"/>
      <c r="E13" s="46"/>
      <c r="F13" s="46"/>
      <c r="G13" s="46"/>
      <c r="H13" s="46"/>
      <c r="I13" s="34"/>
      <c r="J13" s="34"/>
      <c r="K13" s="34"/>
      <c r="L13" s="34"/>
    </row>
    <row r="15" spans="2:14" ht="18.75" customHeight="1" x14ac:dyDescent="0.3">
      <c r="B15" s="41" t="s">
        <v>28</v>
      </c>
      <c r="C15" s="42"/>
      <c r="D15" s="43" t="str">
        <f>"არჩეული წელი ("&amp;SelectedYear&amp;")"</f>
        <v>არჩეული წელი (2020)</v>
      </c>
      <c r="E15" s="42"/>
      <c r="F15" s="43" t="str">
        <f>"წინა წელი ("&amp;SelectedYear-1&amp;")"</f>
        <v>წინა წელი (2019)</v>
      </c>
      <c r="G15" s="42"/>
      <c r="H15" s="44" t="s">
        <v>41</v>
      </c>
      <c r="I15" s="101" t="str">
        <f ca="1">CONCATENATE(Years," წლის ტრენდი")</f>
        <v>3 წლის ტრენდი</v>
      </c>
      <c r="J15" s="101"/>
      <c r="K15" s="101"/>
      <c r="L15" s="101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7"/>
      <c r="D16" s="45">
        <f ca="1">IF($B16="","",Calculations!G15)</f>
        <v>-5.2389597775168051E-2</v>
      </c>
      <c r="E16" s="45"/>
      <c r="F16" s="45">
        <f ca="1">IF($B16="","",Calculations!F15)</f>
        <v>5.1366151239379265E-2</v>
      </c>
      <c r="G16" s="37"/>
      <c r="H16" s="48"/>
      <c r="I16" s="89"/>
      <c r="J16" s="89"/>
      <c r="K16" s="89"/>
      <c r="L16" s="89"/>
    </row>
    <row r="17" spans="2:12" ht="18.75" customHeight="1" x14ac:dyDescent="0.3">
      <c r="B17" s="13" t="str">
        <f>Calculations!B16</f>
        <v>სამომხმარებლო ფასების ინფლაცია</v>
      </c>
      <c r="C17" s="35"/>
      <c r="D17" s="45">
        <f ca="1">IF($B17="","",Calculations!G16)</f>
        <v>5.0987587659784284E-2</v>
      </c>
      <c r="E17" s="45"/>
      <c r="F17" s="45">
        <f ca="1">IF($B17="","",Calculations!F16)</f>
        <v>4.8528982169673052E-2</v>
      </c>
      <c r="G17" s="35"/>
      <c r="H17" s="49"/>
      <c r="I17" s="89"/>
      <c r="J17" s="89"/>
      <c r="K17" s="89"/>
      <c r="L17" s="89"/>
    </row>
    <row r="18" spans="2:12" ht="18.75" customHeight="1" x14ac:dyDescent="0.3">
      <c r="B18" s="13" t="str">
        <f>Calculations!B17</f>
        <v>მშპ-ს დეფლატორი</v>
      </c>
      <c r="C18" s="35"/>
      <c r="D18" s="45">
        <f ca="1">IF($B18="","",Calculations!G17)</f>
        <v>5.631011264278718E-2</v>
      </c>
      <c r="E18" s="45"/>
      <c r="F18" s="45">
        <f ca="1">IF($B18="","",Calculations!F17)</f>
        <v>6.3742719467123843E-2</v>
      </c>
      <c r="G18" s="35"/>
      <c r="H18" s="49"/>
      <c r="I18" s="89"/>
      <c r="J18" s="89"/>
      <c r="K18" s="89"/>
      <c r="L18" s="89"/>
    </row>
    <row r="19" spans="2:12" ht="18.75" customHeight="1" x14ac:dyDescent="0.3">
      <c r="B19" s="13" t="str">
        <f>Calculations!B18</f>
        <v>ნომინალური მშპ მლნ ლარი</v>
      </c>
      <c r="C19" s="35"/>
      <c r="D19" s="58">
        <f ca="1">IF($B19="","",Calculations!G18)</f>
        <v>50015.814921749159</v>
      </c>
      <c r="E19" s="58"/>
      <c r="F19" s="58">
        <f ca="1">IF($B19="","",Calculations!F18)</f>
        <v>50002.162710928205</v>
      </c>
      <c r="G19" s="35"/>
      <c r="H19" s="49">
        <f t="shared" ref="H19:H39" ca="1" si="0">IFERROR(D19/F19-1,"")</f>
        <v>2.7303240661558092E-4</v>
      </c>
      <c r="I19" s="89"/>
      <c r="J19" s="89"/>
      <c r="K19" s="89"/>
      <c r="L19" s="89"/>
    </row>
    <row r="20" spans="2:12" ht="18.75" customHeight="1" x14ac:dyDescent="0.3">
      <c r="B20" s="13" t="str">
        <f>Calculations!B19</f>
        <v>ნომინალური მშპ მლნ აშშ დოლარი</v>
      </c>
      <c r="C20" s="35"/>
      <c r="D20" s="58">
        <f ca="1">IF($B20="","",Calculations!G19)</f>
        <v>16185.388140214516</v>
      </c>
      <c r="E20" s="58"/>
      <c r="F20" s="58">
        <f ca="1">IF($B20="","",Calculations!F19)</f>
        <v>17683.285458102699</v>
      </c>
      <c r="G20" s="35"/>
      <c r="H20" s="49">
        <f t="shared" ca="1" si="0"/>
        <v>-8.4706957959660545E-2</v>
      </c>
      <c r="I20" s="89"/>
      <c r="J20" s="89"/>
      <c r="K20" s="89"/>
      <c r="L20" s="89"/>
    </row>
    <row r="21" spans="2:12" ht="18.75" customHeight="1" x14ac:dyDescent="0.3">
      <c r="B21" s="13" t="str">
        <f>Calculations!B20</f>
        <v>მშპ ერთ სულ მოსახლეზე ლარი</v>
      </c>
      <c r="C21" s="35"/>
      <c r="D21" s="58">
        <f ca="1">IF($B21="","",Calculations!G20)</f>
        <v>13456.477197070524</v>
      </c>
      <c r="E21" s="58"/>
      <c r="F21" s="58">
        <f ca="1">IF($B21="","",Calculations!F20)</f>
        <v>13428.936794052046</v>
      </c>
      <c r="G21" s="35"/>
      <c r="H21" s="49">
        <f t="shared" ca="1" si="0"/>
        <v>2.050825276851187E-3</v>
      </c>
      <c r="I21" s="89"/>
      <c r="J21" s="89"/>
      <c r="K21" s="89"/>
      <c r="L21" s="89"/>
    </row>
    <row r="22" spans="2:12" ht="18.75" customHeight="1" x14ac:dyDescent="0.3">
      <c r="B22" s="13" t="str">
        <f>Calculations!B21</f>
        <v>მშპ ერთ სულ მოსახლეზე დოლარი</v>
      </c>
      <c r="C22" s="35"/>
      <c r="D22" s="58">
        <f ca="1">IF($B22="","",Calculations!G21)</f>
        <v>4354.5887790748293</v>
      </c>
      <c r="E22" s="58"/>
      <c r="F22" s="58">
        <f ca="1">IF($B22="","",Calculations!F21)</f>
        <v>4749.1490338305139</v>
      </c>
      <c r="G22" s="35"/>
      <c r="H22" s="49">
        <f t="shared" ca="1" si="0"/>
        <v>-8.3080200672802418E-2</v>
      </c>
      <c r="I22" s="89"/>
      <c r="J22" s="89"/>
      <c r="K22" s="89"/>
      <c r="L22" s="89"/>
    </row>
    <row r="23" spans="2:12" ht="18.75" customHeight="1" x14ac:dyDescent="0.3">
      <c r="B23" s="13" t="str">
        <f>Calculations!B22</f>
        <v>აბსორბცია</v>
      </c>
      <c r="C23" s="35"/>
      <c r="D23" s="58">
        <f ca="1">IF($B23="","",Calculations!G22)</f>
        <v>55723.949127024905</v>
      </c>
      <c r="E23" s="58"/>
      <c r="F23" s="58">
        <f ca="1">IF($B23="","",Calculations!F22)</f>
        <v>54439.672206707117</v>
      </c>
      <c r="G23" s="35"/>
      <c r="H23" s="49">
        <f t="shared" ca="1" si="0"/>
        <v>2.3590827575915574E-2</v>
      </c>
      <c r="I23" s="89"/>
      <c r="J23" s="89"/>
      <c r="K23" s="89"/>
      <c r="L23" s="89"/>
    </row>
    <row r="24" spans="2:12" ht="18.75" customHeight="1" x14ac:dyDescent="0.3">
      <c r="B24" s="13" t="str">
        <f>Calculations!B23</f>
        <v>მოხმარება</v>
      </c>
      <c r="C24" s="62"/>
      <c r="D24" s="58">
        <f ca="1">IF($B24="","",Calculations!G23)</f>
        <v>43363.623321252555</v>
      </c>
      <c r="E24" s="58"/>
      <c r="F24" s="58">
        <f ca="1">IF($B24="","",Calculations!F23)</f>
        <v>41035.222601817033</v>
      </c>
      <c r="G24" s="62"/>
      <c r="H24" s="49">
        <f t="shared" ca="1" si="0"/>
        <v>5.6741515503133222E-2</v>
      </c>
      <c r="I24" s="89"/>
      <c r="J24" s="89"/>
      <c r="K24" s="89"/>
      <c r="L24" s="89"/>
    </row>
    <row r="25" spans="2:12" ht="18.75" customHeight="1" x14ac:dyDescent="0.3">
      <c r="B25" s="67" t="str">
        <f>Calculations!B24</f>
        <v>კერძო</v>
      </c>
      <c r="C25" s="35"/>
      <c r="D25" s="58">
        <f ca="1">IF($B25="","",Calculations!G24)</f>
        <v>39664.567574061592</v>
      </c>
      <c r="E25" s="58"/>
      <c r="F25" s="58">
        <f ca="1">IF($B25="","",Calculations!F24)</f>
        <v>37591.608793117033</v>
      </c>
      <c r="G25" s="35"/>
      <c r="H25" s="49">
        <f t="shared" ca="1" si="0"/>
        <v>5.5144189022421353E-2</v>
      </c>
      <c r="I25" s="89"/>
      <c r="J25" s="89"/>
      <c r="K25" s="89"/>
      <c r="L25" s="89"/>
    </row>
    <row r="26" spans="2:12" ht="18.75" customHeight="1" x14ac:dyDescent="0.3">
      <c r="B26" s="67" t="str">
        <f>Calculations!B25</f>
        <v>სახელმწიფო</v>
      </c>
      <c r="C26" s="35"/>
      <c r="D26" s="58">
        <f ca="1">IF($B26="","",Calculations!G25)</f>
        <v>3699.0557471909606</v>
      </c>
      <c r="E26" s="58"/>
      <c r="F26" s="58">
        <f ca="1">IF($B26="","",Calculations!F25)</f>
        <v>3443.6138086999999</v>
      </c>
      <c r="G26" s="35"/>
      <c r="H26" s="49">
        <f t="shared" ca="1" si="0"/>
        <v>7.4178451092746789E-2</v>
      </c>
      <c r="I26" s="89"/>
      <c r="J26" s="89"/>
      <c r="K26" s="89"/>
      <c r="L26" s="89"/>
    </row>
    <row r="27" spans="2:12" ht="18.75" customHeight="1" x14ac:dyDescent="0.3">
      <c r="B27" s="13" t="str">
        <f>Calculations!B26</f>
        <v>ინვესტიციები</v>
      </c>
      <c r="C27" s="62"/>
      <c r="D27" s="58">
        <f ca="1">IF($B27="","",Calculations!G26)</f>
        <v>12360.325805772351</v>
      </c>
      <c r="E27" s="58"/>
      <c r="F27" s="58">
        <f ca="1">IF($B27="","",Calculations!F26)</f>
        <v>13404.449604890084</v>
      </c>
      <c r="G27" s="62"/>
      <c r="H27" s="49">
        <f t="shared" ca="1" si="0"/>
        <v>-7.7893821073923508E-2</v>
      </c>
      <c r="I27" s="89"/>
      <c r="J27" s="89"/>
      <c r="K27" s="89"/>
      <c r="L27" s="89"/>
    </row>
    <row r="28" spans="2:12" ht="18.75" customHeight="1" x14ac:dyDescent="0.3">
      <c r="B28" s="67" t="str">
        <f>Calculations!B27</f>
        <v>კერძო</v>
      </c>
      <c r="C28" s="35"/>
      <c r="D28" s="58">
        <f ca="1">IF($B28="","",Calculations!G27)</f>
        <v>8839.3258057723506</v>
      </c>
      <c r="E28" s="58"/>
      <c r="F28" s="58">
        <f ca="1">IF($B28="","",Calculations!F27)</f>
        <v>9459.4309744500842</v>
      </c>
      <c r="G28" s="35"/>
      <c r="H28" s="49">
        <f t="shared" ca="1" si="0"/>
        <v>-6.5554172375974495E-2</v>
      </c>
      <c r="I28" s="89"/>
      <c r="J28" s="89"/>
      <c r="K28" s="89"/>
      <c r="L28" s="89"/>
    </row>
    <row r="29" spans="2:12" ht="18.75" customHeight="1" x14ac:dyDescent="0.3">
      <c r="B29" s="67" t="str">
        <f>Calculations!B28</f>
        <v>სახელმწიფო</v>
      </c>
      <c r="C29" s="35"/>
      <c r="D29" s="58">
        <f ca="1">IF($B29="","",Calculations!G28)</f>
        <v>3521</v>
      </c>
      <c r="E29" s="58"/>
      <c r="F29" s="58">
        <f ca="1">IF($B29="","",Calculations!F28)</f>
        <v>3945.0186304399995</v>
      </c>
      <c r="G29" s="35"/>
      <c r="H29" s="49">
        <f t="shared" ca="1" si="0"/>
        <v>-0.10748203498159592</v>
      </c>
      <c r="I29" s="89"/>
      <c r="J29" s="89"/>
      <c r="K29" s="89"/>
      <c r="L29" s="89"/>
    </row>
    <row r="30" spans="2:12" ht="18.75" customHeight="1" x14ac:dyDescent="0.3">
      <c r="B30" s="13" t="str">
        <f>Calculations!B29</f>
        <v>მთლიანი ეროვნული დანაზოგები</v>
      </c>
      <c r="C30" s="35"/>
      <c r="D30" s="58">
        <f ca="1">IF($B30="","",Calculations!G29)</f>
        <v>9083.6028032617469</v>
      </c>
      <c r="E30" s="58"/>
      <c r="F30" s="58">
        <f ca="1">IF($B30="","",Calculations!F29)</f>
        <v>10840.410830489905</v>
      </c>
      <c r="G30" s="35"/>
      <c r="H30" s="49">
        <f t="shared" ca="1" si="0"/>
        <v>-0.16206101915316096</v>
      </c>
      <c r="I30" s="89"/>
      <c r="J30" s="89"/>
      <c r="K30" s="89"/>
      <c r="L30" s="89"/>
    </row>
    <row r="31" spans="2:12" ht="18.75" customHeight="1" x14ac:dyDescent="0.3">
      <c r="B31" s="67" t="str">
        <f>Calculations!B30</f>
        <v>სახელმწიფო</v>
      </c>
      <c r="C31" s="35"/>
      <c r="D31" s="58">
        <f ca="1">IF($B31="","",Calculations!G30)</f>
        <v>-387.57458109206709</v>
      </c>
      <c r="E31" s="58"/>
      <c r="F31" s="58">
        <f ca="1">IF($B31="","",Calculations!F30)</f>
        <v>2387.8984020500011</v>
      </c>
      <c r="G31" s="35"/>
      <c r="H31" s="49">
        <f t="shared" ca="1" si="0"/>
        <v>-1.162307818774591</v>
      </c>
      <c r="I31" s="89"/>
      <c r="J31" s="89"/>
      <c r="K31" s="89"/>
      <c r="L31" s="89"/>
    </row>
    <row r="32" spans="2:12" ht="18.75" customHeight="1" x14ac:dyDescent="0.3">
      <c r="B32" s="67" t="str">
        <f>Calculations!B31</f>
        <v>კერძო</v>
      </c>
      <c r="C32" s="35"/>
      <c r="D32" s="58">
        <f ca="1">IF($B32="","",Calculations!G31)</f>
        <v>9471.177384353814</v>
      </c>
      <c r="E32" s="58"/>
      <c r="F32" s="58">
        <f ca="1">IF($B32="","",Calculations!F31)</f>
        <v>8452.5124284399044</v>
      </c>
      <c r="G32" s="35"/>
      <c r="H32" s="49">
        <f t="shared" ca="1" si="0"/>
        <v>0.12051623284059776</v>
      </c>
      <c r="I32" s="89"/>
      <c r="J32" s="89"/>
      <c r="K32" s="89"/>
      <c r="L32" s="89"/>
    </row>
    <row r="33" spans="2:12" ht="18.75" customHeight="1" x14ac:dyDescent="0.3">
      <c r="B33" s="13" t="str">
        <f>Calculations!B32</f>
        <v>შემოსავლები და გრანტები</v>
      </c>
      <c r="C33" s="35"/>
      <c r="D33" s="58">
        <f ca="1">IF($B33="","",Calculations!G32)</f>
        <v>12568.477318694073</v>
      </c>
      <c r="E33" s="58"/>
      <c r="F33" s="58">
        <f ca="1">IF($B33="","",Calculations!F32)</f>
        <v>12907.343685770002</v>
      </c>
      <c r="G33" s="35"/>
      <c r="H33" s="49">
        <f t="shared" ca="1" si="0"/>
        <v>-2.625376493612086E-2</v>
      </c>
      <c r="I33" s="89"/>
      <c r="J33" s="89"/>
      <c r="K33" s="89"/>
      <c r="L33" s="89"/>
    </row>
    <row r="34" spans="2:12" ht="22.5" customHeight="1" x14ac:dyDescent="0.3">
      <c r="B34" s="67" t="str">
        <f>Calculations!B33</f>
        <v>საგადასახადო შემოსავლები</v>
      </c>
      <c r="C34" s="35"/>
      <c r="D34" s="58">
        <f ca="1">IF($B34="","",Calculations!G33)</f>
        <v>10847.065412335654</v>
      </c>
      <c r="E34" s="58"/>
      <c r="F34" s="58">
        <f ca="1">IF($B34="","",Calculations!F33)</f>
        <v>11417.838802509999</v>
      </c>
      <c r="G34" s="35"/>
      <c r="H34" s="49">
        <f t="shared" ca="1" si="0"/>
        <v>-4.9989617128669783E-2</v>
      </c>
      <c r="I34" s="89"/>
      <c r="J34" s="89"/>
      <c r="K34" s="89"/>
      <c r="L34" s="89"/>
    </row>
    <row r="35" spans="2:12" ht="18.75" customHeight="1" x14ac:dyDescent="0.3">
      <c r="B35" s="68" t="str">
        <f>Calculations!B34</f>
        <v>პირდაპირი გადასახადები</v>
      </c>
      <c r="C35" s="35"/>
      <c r="D35" s="58">
        <f ca="1">IF($B35="","",Calculations!G34)</f>
        <v>4475.3490745957943</v>
      </c>
      <c r="E35" s="58"/>
      <c r="F35" s="58">
        <f ca="1">IF($B35="","",Calculations!F34)</f>
        <v>4593.0685114799999</v>
      </c>
      <c r="G35" s="35"/>
      <c r="H35" s="49">
        <f t="shared" ca="1" si="0"/>
        <v>-2.5629802078931618E-2</v>
      </c>
      <c r="I35" s="89"/>
      <c r="J35" s="89"/>
      <c r="K35" s="89"/>
      <c r="L35" s="89"/>
    </row>
    <row r="36" spans="2:12" ht="18.75" customHeight="1" x14ac:dyDescent="0.3">
      <c r="B36" s="68" t="str">
        <f>Calculations!B35</f>
        <v>არაპირდაპირი გადასახადები</v>
      </c>
      <c r="C36" s="52"/>
      <c r="D36" s="58">
        <f ca="1">IF($B36="","",Calculations!G35)</f>
        <v>6371.7163377398592</v>
      </c>
      <c r="E36" s="58"/>
      <c r="F36" s="58">
        <f ca="1">IF($B36="","",Calculations!F35)</f>
        <v>6824.7702910299995</v>
      </c>
      <c r="G36" s="52"/>
      <c r="H36" s="49">
        <f t="shared" ca="1" si="0"/>
        <v>-6.6383765895476787E-2</v>
      </c>
      <c r="I36" s="89"/>
      <c r="J36" s="89"/>
      <c r="K36" s="89"/>
      <c r="L36" s="89"/>
    </row>
    <row r="37" spans="2:12" ht="18.75" customHeight="1" x14ac:dyDescent="0.3">
      <c r="B37" s="13" t="str">
        <f>Calculations!B36</f>
        <v>ხარჯები და არაფინანსური აქტივების ზრდა</v>
      </c>
      <c r="C37" s="52"/>
      <c r="D37" s="58">
        <f ca="1">IF($B37="","",Calculations!G36)</f>
        <v>16477.05189978614</v>
      </c>
      <c r="E37" s="58"/>
      <c r="F37" s="58">
        <f ca="1">IF($B37="","",Calculations!F36)</f>
        <v>14465.985283720001</v>
      </c>
      <c r="G37" s="52"/>
      <c r="H37" s="49">
        <f t="shared" ca="1" si="0"/>
        <v>0.13902036927476979</v>
      </c>
      <c r="I37" s="89"/>
      <c r="J37" s="89"/>
      <c r="K37" s="89"/>
      <c r="L37" s="89"/>
    </row>
    <row r="38" spans="2:12" ht="18.75" customHeight="1" x14ac:dyDescent="0.3">
      <c r="B38" s="67" t="str">
        <f>Calculations!B37</f>
        <v>მიმდინარე ხარჯები</v>
      </c>
      <c r="C38" s="52"/>
      <c r="D38" s="58">
        <f ca="1">IF($B38="","",Calculations!G37)</f>
        <v>12956.05189978614</v>
      </c>
      <c r="E38" s="58"/>
      <c r="F38" s="58">
        <f ca="1">IF($B38="","",Calculations!F37)</f>
        <v>10519.445283720001</v>
      </c>
      <c r="G38" s="52"/>
      <c r="H38" s="49">
        <f t="shared" ca="1" si="0"/>
        <v>0.23162881219954223</v>
      </c>
      <c r="I38" s="89"/>
      <c r="J38" s="89"/>
      <c r="K38" s="89"/>
      <c r="L38" s="89"/>
    </row>
    <row r="39" spans="2:12" ht="18.75" customHeight="1" x14ac:dyDescent="0.3">
      <c r="B39" s="67" t="str">
        <f>Calculations!B38</f>
        <v>კაპიტალური ხარჯები</v>
      </c>
      <c r="C39" s="52"/>
      <c r="D39" s="58">
        <f ca="1">IF($B39="","",Calculations!G38)</f>
        <v>3521</v>
      </c>
      <c r="E39" s="58"/>
      <c r="F39" s="58">
        <f ca="1">IF($B39="","",Calculations!F38)</f>
        <v>3946.54</v>
      </c>
      <c r="G39" s="52"/>
      <c r="H39" s="49">
        <f t="shared" ca="1" si="0"/>
        <v>-0.1078260957699656</v>
      </c>
      <c r="I39" s="89"/>
      <c r="J39" s="89"/>
      <c r="K39" s="89"/>
      <c r="L39" s="89"/>
    </row>
    <row r="40" spans="2:12" ht="18.75" customHeight="1" x14ac:dyDescent="0.3">
      <c r="B40" s="13" t="str">
        <f>Calculations!B39</f>
        <v>საოპერაციო სალდო (% მშპ-თან)</v>
      </c>
      <c r="C40" s="52"/>
      <c r="D40" s="45">
        <f ca="1">IF($B40="","",Calculations!G39)</f>
        <v>-7.7490406124230094E-3</v>
      </c>
      <c r="E40" s="45"/>
      <c r="F40" s="45">
        <f ca="1">IF($B40="","",Calculations!F39)</f>
        <v>4.7755902396760017E-2</v>
      </c>
      <c r="G40" s="52"/>
      <c r="H40" s="49"/>
      <c r="I40" s="89"/>
      <c r="J40" s="89"/>
      <c r="K40" s="89"/>
      <c r="L40" s="89"/>
    </row>
    <row r="41" spans="2:12" ht="18.75" customHeight="1" x14ac:dyDescent="0.3">
      <c r="B41" s="13" t="str">
        <f>Calculations!B40</f>
        <v>მთლიანი სალდო (% მშპ-თან)</v>
      </c>
      <c r="C41" s="52"/>
      <c r="D41" s="45">
        <f ca="1">IF($B41="","",Calculations!G40)</f>
        <v>-7.5147722514817328E-2</v>
      </c>
      <c r="E41" s="45"/>
      <c r="F41" s="45">
        <f ca="1">IF($B41="","",Calculations!F40)</f>
        <v>-2.7051137776774172E-2</v>
      </c>
      <c r="G41" s="52"/>
      <c r="H41" s="49"/>
      <c r="I41" s="89"/>
      <c r="J41" s="89"/>
      <c r="K41" s="89"/>
      <c r="L41" s="89"/>
    </row>
    <row r="42" spans="2:12" ht="18.75" customHeight="1" x14ac:dyDescent="0.3">
      <c r="B42" s="13" t="str">
        <f>Calculations!B41</f>
        <v>ფისკალური ბალანსი (% მშპ-თან)</v>
      </c>
      <c r="C42" s="52"/>
      <c r="D42" s="45">
        <f ca="1">IF($B42="","",Calculations!G41)</f>
        <v>-7.694715335765788E-2</v>
      </c>
      <c r="E42" s="45"/>
      <c r="F42" s="45">
        <f ca="1">IF($B42="","",Calculations!F41)</f>
        <v>-2.140573326871751E-2</v>
      </c>
      <c r="G42" s="52"/>
      <c r="H42" s="49"/>
      <c r="I42" s="89"/>
      <c r="J42" s="89"/>
      <c r="K42" s="89"/>
      <c r="L42" s="89"/>
    </row>
    <row r="43" spans="2:12" ht="18.75" customHeight="1" x14ac:dyDescent="0.3">
      <c r="B43" s="13" t="str">
        <f>Calculations!B42</f>
        <v>სახელმწიფო ვალი (% მშპ-თან)</v>
      </c>
      <c r="C43" s="52"/>
      <c r="D43" s="45">
        <f ca="1">IF($B43="","",Calculations!G42)</f>
        <v>0.5623958698085384</v>
      </c>
      <c r="E43" s="45"/>
      <c r="F43" s="45">
        <f ca="1">IF($B43="","",Calculations!F42)</f>
        <v>0.41151639038285076</v>
      </c>
      <c r="G43" s="52"/>
      <c r="H43" s="49"/>
      <c r="I43" s="89"/>
      <c r="J43" s="89"/>
      <c r="K43" s="89"/>
      <c r="L43" s="89"/>
    </row>
    <row r="44" spans="2:12" ht="18.75" customHeight="1" x14ac:dyDescent="0.3">
      <c r="B44" s="67" t="str">
        <f>Calculations!B43</f>
        <v>საგარეო (% მშპ-თან)</v>
      </c>
      <c r="C44" s="52"/>
      <c r="D44" s="45">
        <f ca="1">IF($B44="","",Calculations!G43)</f>
        <v>0.44300961149520141</v>
      </c>
      <c r="E44" s="45"/>
      <c r="F44" s="45">
        <f ca="1">IF($B44="","",Calculations!F43)</f>
        <v>0.31498056596449947</v>
      </c>
      <c r="G44" s="52"/>
      <c r="H44" s="49"/>
      <c r="I44" s="89"/>
      <c r="J44" s="89"/>
      <c r="K44" s="89"/>
      <c r="L44" s="89"/>
    </row>
    <row r="45" spans="2:12" ht="18.75" customHeight="1" x14ac:dyDescent="0.3">
      <c r="B45" s="67" t="str">
        <f>Calculations!B44</f>
        <v>საშინაო (% მშპ-თან)</v>
      </c>
      <c r="C45" s="52"/>
      <c r="D45" s="45">
        <f ca="1">IF($B45="","",Calculations!G44)</f>
        <v>0.11938625831333698</v>
      </c>
      <c r="E45" s="45"/>
      <c r="F45" s="45">
        <f ca="1">IF($B45="","",Calculations!F44)</f>
        <v>9.6535824418351346E-2</v>
      </c>
      <c r="G45" s="52"/>
      <c r="H45" s="49"/>
      <c r="I45" s="89"/>
      <c r="J45" s="89"/>
      <c r="K45" s="89"/>
      <c r="L45" s="89"/>
    </row>
    <row r="46" spans="2:12" ht="18.75" customHeight="1" x14ac:dyDescent="0.3">
      <c r="B46" s="13" t="str">
        <f>Calculations!B45</f>
        <v>წმინდა უცხოური აქტივები</v>
      </c>
      <c r="C46" s="52"/>
      <c r="D46" s="58">
        <f ca="1">IF($B46="","",Calculations!G45)</f>
        <v>-478.14309999999989</v>
      </c>
      <c r="E46" s="58"/>
      <c r="F46" s="58">
        <f ca="1">IF($B46="","",Calculations!F45)</f>
        <v>-355.41899999999987</v>
      </c>
      <c r="G46" s="52"/>
      <c r="H46" s="49">
        <f ca="1">IFERROR(D46/F46-1,"")</f>
        <v>0.34529414578286488</v>
      </c>
      <c r="I46" s="89"/>
      <c r="J46" s="89"/>
      <c r="K46" s="89"/>
      <c r="L46" s="89"/>
    </row>
    <row r="47" spans="2:12" ht="18.75" customHeight="1" x14ac:dyDescent="0.3">
      <c r="B47" s="13" t="str">
        <f>Calculations!B46</f>
        <v>წმინდა საშინაო აქტივები</v>
      </c>
      <c r="C47" s="52"/>
      <c r="D47" s="58">
        <f ca="1">IF($B47="","",Calculations!G46)</f>
        <v>26193.701219766172</v>
      </c>
      <c r="E47" s="58"/>
      <c r="F47" s="58">
        <f ca="1">IF($B47="","",Calculations!F46)</f>
        <v>24735.544716000004</v>
      </c>
      <c r="G47" s="52"/>
      <c r="H47" s="49">
        <f t="shared" ref="H47:H48" ca="1" si="1">IFERROR(D47/F47-1,"")</f>
        <v>5.8949844060760537E-2</v>
      </c>
      <c r="I47" s="89"/>
      <c r="J47" s="89"/>
      <c r="K47" s="89"/>
      <c r="L47" s="89"/>
    </row>
    <row r="48" spans="2:12" ht="17.25" customHeight="1" x14ac:dyDescent="0.3">
      <c r="B48" s="13" t="str">
        <f>Calculations!B47</f>
        <v>ფართო ფული M3</v>
      </c>
      <c r="C48" s="52"/>
      <c r="D48" s="58">
        <f ca="1">IF($B48="","",Calculations!G47)</f>
        <v>25715.55811976617</v>
      </c>
      <c r="E48" s="58"/>
      <c r="F48" s="58">
        <f ca="1">IF($B48="","",Calculations!F47)</f>
        <v>24380.125716000002</v>
      </c>
      <c r="G48" s="52"/>
      <c r="H48" s="49">
        <f t="shared" ca="1" si="1"/>
        <v>5.4775451912036699E-2</v>
      </c>
      <c r="I48" s="89"/>
      <c r="J48" s="89"/>
      <c r="K48" s="89"/>
      <c r="L48" s="89"/>
    </row>
    <row r="49" spans="2:12" ht="17.25" customHeight="1" x14ac:dyDescent="0.3">
      <c r="B49" s="13" t="str">
        <f>Calculations!B48</f>
        <v xml:space="preserve">ფართო ფული M2 </v>
      </c>
      <c r="C49" s="52"/>
      <c r="D49" s="58">
        <f ca="1">IF($B49="","",Calculations!G48)</f>
        <v>12244.675854674102</v>
      </c>
      <c r="E49" s="58"/>
      <c r="F49" s="58">
        <f ca="1">IF($B49="","",Calculations!F48)</f>
        <v>11495.454605000001</v>
      </c>
      <c r="G49" s="52"/>
      <c r="H49" s="49">
        <f ca="1">IFERROR(D49/F49-1,"")</f>
        <v>6.5175434588574221E-2</v>
      </c>
      <c r="I49" s="89"/>
      <c r="J49" s="89"/>
      <c r="K49" s="89"/>
      <c r="L49" s="89"/>
    </row>
    <row r="50" spans="2:12" ht="17.25" customHeight="1" x14ac:dyDescent="0.3">
      <c r="B50" s="13" t="str">
        <f>Calculations!B49</f>
        <v>კერძო სექტორის დაკრედიტება</v>
      </c>
      <c r="C50" s="52"/>
      <c r="D50" s="58">
        <f ca="1">IF($B50="","",Calculations!G49)</f>
        <v>36341.379945809254</v>
      </c>
      <c r="E50" s="58"/>
      <c r="F50" s="58">
        <f ca="1">IF($B50="","",Calculations!F49)</f>
        <v>31707.712</v>
      </c>
      <c r="G50" s="52"/>
      <c r="H50" s="49">
        <f ca="1">IFERROR(D50/F50-1,"")</f>
        <v>0.14613693809913664</v>
      </c>
      <c r="I50" s="89"/>
      <c r="J50" s="89"/>
      <c r="K50" s="89"/>
      <c r="L50" s="89"/>
    </row>
    <row r="51" spans="2:12" ht="33" customHeight="1" x14ac:dyDescent="0.3">
      <c r="B51" s="69" t="str">
        <f>Calculations!B50</f>
        <v>მიმდინარე ანგარიშის ბალანსი (% მშპ-თან)</v>
      </c>
      <c r="C51" s="59"/>
      <c r="D51" s="45">
        <f ca="1">IF($B51="","",Calculations!G50)</f>
        <v>-6.5358140532885231E-2</v>
      </c>
      <c r="E51" s="45"/>
      <c r="F51" s="45">
        <f ca="1">IF($B51="","",Calculations!F50)</f>
        <v>-5.0189422006885538E-2</v>
      </c>
      <c r="G51" s="66"/>
      <c r="H51" s="49"/>
      <c r="I51" s="89"/>
      <c r="J51" s="89"/>
      <c r="K51" s="89"/>
      <c r="L51" s="89"/>
    </row>
    <row r="52" spans="2:12" ht="17.25" customHeight="1" x14ac:dyDescent="0.3">
      <c r="B52" s="13" t="str">
        <f>Calculations!B51</f>
        <v>სავაჭრო ბალანსი (% მშპ-თან)</v>
      </c>
      <c r="C52" s="66"/>
      <c r="D52" s="45">
        <f ca="1">IF($B52="","",Calculations!G51)</f>
        <v>-0.11403465817824049</v>
      </c>
      <c r="E52" s="45"/>
      <c r="F52" s="45">
        <f ca="1">IF($B52="","",Calculations!F51)</f>
        <v>-8.8069982137855107E-2</v>
      </c>
      <c r="G52" s="66"/>
      <c r="H52" s="49"/>
      <c r="I52" s="89"/>
      <c r="J52" s="89"/>
      <c r="K52" s="89"/>
      <c r="L52" s="89"/>
    </row>
    <row r="53" spans="2:12" ht="42.75" customHeight="1" x14ac:dyDescent="0.3">
      <c r="B53" s="69" t="str">
        <f>Calculations!B52</f>
        <v>წმინდა კერძო კაპიტალური და ფინანსური ნაკადები (მლნ აშშ დოლარი)</v>
      </c>
      <c r="C53" s="66"/>
      <c r="D53" s="58">
        <f ca="1">IF($B53="","",Calculations!G52)</f>
        <v>310.31401152415248</v>
      </c>
      <c r="E53" s="58"/>
      <c r="F53" s="58">
        <f ca="1">IF($B53="","",Calculations!F52)</f>
        <v>383.76593855316298</v>
      </c>
      <c r="G53" s="66"/>
      <c r="H53" s="49">
        <f t="shared" ref="H53:H54" ca="1" si="2">IFERROR(D53/F53-1,"")</f>
        <v>-0.19139772358623541</v>
      </c>
      <c r="I53" s="89"/>
      <c r="J53" s="89"/>
      <c r="K53" s="89"/>
      <c r="L53" s="89"/>
    </row>
    <row r="54" spans="2:12" ht="45.75" customHeight="1" x14ac:dyDescent="0.3">
      <c r="B54" s="69" t="str">
        <f>Calculations!B53</f>
        <v>ოფიციალური საერთაშორისო რეზერვები (მლნ აშშ დოლარი)</v>
      </c>
      <c r="C54" s="66"/>
      <c r="D54" s="58">
        <f ca="1">IF($B54="","",Calculations!G53)</f>
        <v>3775.1805529299436</v>
      </c>
      <c r="E54" s="58"/>
      <c r="F54" s="58">
        <f ca="1">IF($B54="","",Calculations!F53)</f>
        <v>3505.7905423336424</v>
      </c>
      <c r="G54" s="66"/>
      <c r="H54" s="49">
        <f t="shared" ca="1" si="2"/>
        <v>7.6841444844842455E-2</v>
      </c>
      <c r="I54" s="89"/>
      <c r="J54" s="89"/>
      <c r="K54" s="89"/>
      <c r="L54" s="89"/>
    </row>
    <row r="55" spans="2:12" ht="17.25" customHeight="1" x14ac:dyDescent="0.3">
      <c r="B55" s="13" t="str">
        <f>Calculations!B54</f>
        <v>იმპორტის ჯერადი</v>
      </c>
      <c r="C55" s="66"/>
      <c r="D55" s="58">
        <f ca="1">IF($B55="","",Calculations!G54)</f>
        <v>5.25</v>
      </c>
      <c r="E55" s="58"/>
      <c r="F55" s="58">
        <f ca="1">IF($B55="","",Calculations!F54)</f>
        <v>3.7786852314809867</v>
      </c>
      <c r="G55" s="66"/>
      <c r="H55" s="49"/>
      <c r="I55" s="89"/>
      <c r="J55" s="89"/>
      <c r="K55" s="89"/>
      <c r="L55" s="89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22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topLeftCell="B1" zoomScale="80" zoomScaleNormal="80" workbookViewId="0">
      <pane ySplit="3" topLeftCell="A4" activePane="bottomLeft" state="frozen"/>
      <selection pane="bottomLeft" activeCell="I43" sqref="C4:I43"/>
    </sheetView>
  </sheetViews>
  <sheetFormatPr defaultRowHeight="15" x14ac:dyDescent="0.3"/>
  <cols>
    <col min="1" max="1" width="2.140625" customWidth="1"/>
    <col min="2" max="2" width="47.710937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0" t="s">
        <v>0</v>
      </c>
      <c r="C3" s="51">
        <v>2018</v>
      </c>
      <c r="D3" s="51">
        <v>2019</v>
      </c>
      <c r="E3" s="51">
        <v>2020</v>
      </c>
      <c r="F3" s="51">
        <v>2021</v>
      </c>
      <c r="G3" s="51">
        <v>2022</v>
      </c>
      <c r="H3" s="51">
        <v>2023</v>
      </c>
      <c r="I3" s="51">
        <v>2024</v>
      </c>
    </row>
    <row r="4" spans="2:17" s="5" customFormat="1" ht="19.5" customHeight="1" x14ac:dyDescent="0.3">
      <c r="B4" s="14" t="s">
        <v>6</v>
      </c>
      <c r="C4" s="73">
        <v>4.8701558006479351E-2</v>
      </c>
      <c r="D4" s="73">
        <v>5.1366151239379265E-2</v>
      </c>
      <c r="E4" s="73">
        <v>-5.2389597775168051E-2</v>
      </c>
      <c r="F4" s="73">
        <v>5.4644975409885665E-2</v>
      </c>
      <c r="G4" s="73">
        <v>5.1916334702850842E-2</v>
      </c>
      <c r="H4" s="73">
        <v>5.3293479691152834E-2</v>
      </c>
      <c r="I4" s="74">
        <v>5.2931183898356604E-2</v>
      </c>
    </row>
    <row r="5" spans="2:17" s="5" customFormat="1" ht="19.5" customHeight="1" x14ac:dyDescent="0.3">
      <c r="B5" s="15" t="s">
        <v>7</v>
      </c>
      <c r="C5" s="75">
        <v>2.6152447139766499E-2</v>
      </c>
      <c r="D5" s="75">
        <v>4.8528982169673052E-2</v>
      </c>
      <c r="E5" s="75">
        <v>5.0987587659784284E-2</v>
      </c>
      <c r="F5" s="75">
        <v>2.8891706126107586E-2</v>
      </c>
      <c r="G5" s="75">
        <v>3.2864430638166242E-2</v>
      </c>
      <c r="H5" s="75">
        <v>3.0893642984696656E-2</v>
      </c>
      <c r="I5" s="76">
        <v>3.1494482271490432E-2</v>
      </c>
    </row>
    <row r="6" spans="2:17" s="5" customFormat="1" ht="19.5" customHeight="1" x14ac:dyDescent="0.3">
      <c r="B6" s="15" t="s">
        <v>8</v>
      </c>
      <c r="C6" s="75">
        <v>4.2958465371050192E-2</v>
      </c>
      <c r="D6" s="75">
        <v>6.3742719467123843E-2</v>
      </c>
      <c r="E6" s="75">
        <v>5.631011264278718E-2</v>
      </c>
      <c r="F6" s="75">
        <v>3.8052347895995542E-2</v>
      </c>
      <c r="G6" s="75">
        <v>4.0256802751288845E-2</v>
      </c>
      <c r="H6" s="75">
        <v>3.9511749503532645E-2</v>
      </c>
      <c r="I6" s="76">
        <v>4.0947158434283315E-2</v>
      </c>
    </row>
    <row r="7" spans="2:17" s="5" customFormat="1" ht="19.5" customHeight="1" x14ac:dyDescent="0.3">
      <c r="B7" s="15" t="s">
        <v>33</v>
      </c>
      <c r="C7" s="77">
        <v>44599.342780523992</v>
      </c>
      <c r="D7" s="77">
        <v>50002.162710928205</v>
      </c>
      <c r="E7" s="77">
        <v>50015.814921749159</v>
      </c>
      <c r="F7" s="77">
        <v>54784.729143670098</v>
      </c>
      <c r="G7" s="77">
        <v>59942.631841410439</v>
      </c>
      <c r="H7" s="77">
        <v>65670.795330972949</v>
      </c>
      <c r="I7" s="78">
        <v>71958.904419990082</v>
      </c>
    </row>
    <row r="8" spans="2:17" s="5" customFormat="1" ht="19.5" customHeight="1" x14ac:dyDescent="0.3">
      <c r="B8" s="15" t="s">
        <v>34</v>
      </c>
      <c r="C8" s="77">
        <v>17581.420047685016</v>
      </c>
      <c r="D8" s="77">
        <v>17683.285458102699</v>
      </c>
      <c r="E8" s="77">
        <v>16185.388140214516</v>
      </c>
      <c r="F8" s="77">
        <v>18313.27678035578</v>
      </c>
      <c r="G8" s="77">
        <v>20087.235294027232</v>
      </c>
      <c r="H8" s="77">
        <v>22339.335394791691</v>
      </c>
      <c r="I8" s="78">
        <v>24654.100076915583</v>
      </c>
    </row>
    <row r="9" spans="2:17" s="5" customFormat="1" ht="19.5" customHeight="1" x14ac:dyDescent="0.3">
      <c r="B9" s="15" t="s">
        <v>31</v>
      </c>
      <c r="C9" s="79">
        <v>11968.002772679331</v>
      </c>
      <c r="D9" s="79">
        <v>13428.936794052046</v>
      </c>
      <c r="E9" s="79">
        <v>13456.477197070524</v>
      </c>
      <c r="F9" s="79">
        <v>14739.527080041822</v>
      </c>
      <c r="G9" s="79">
        <v>16127.232151836422</v>
      </c>
      <c r="H9" s="79">
        <v>17668.362722216702</v>
      </c>
      <c r="I9" s="80">
        <v>19360.143545970834</v>
      </c>
    </row>
    <row r="10" spans="2:17" s="5" customFormat="1" ht="19.5" customHeight="1" x14ac:dyDescent="0.3">
      <c r="B10" s="15" t="s">
        <v>30</v>
      </c>
      <c r="C10" s="79">
        <v>4717.8830619499568</v>
      </c>
      <c r="D10" s="79">
        <v>4749.1490338305139</v>
      </c>
      <c r="E10" s="79">
        <v>4354.5887790748293</v>
      </c>
      <c r="F10" s="79">
        <v>4927.0853985693775</v>
      </c>
      <c r="G10" s="79">
        <v>5404.3590834051847</v>
      </c>
      <c r="H10" s="79">
        <v>6010.2741064608026</v>
      </c>
      <c r="I10" s="80">
        <v>6633.0486870672976</v>
      </c>
    </row>
    <row r="11" spans="2:17" s="5" customFormat="1" ht="19.5" customHeight="1" x14ac:dyDescent="0.3">
      <c r="B11" s="15" t="s">
        <v>9</v>
      </c>
      <c r="C11" s="88">
        <f>C12+C15</f>
        <v>49343.946972074584</v>
      </c>
      <c r="D11" s="88">
        <f t="shared" ref="D11:I11" si="0">D12+D15</f>
        <v>54439.672206707117</v>
      </c>
      <c r="E11" s="88">
        <f t="shared" si="0"/>
        <v>55723.949127024905</v>
      </c>
      <c r="F11" s="88">
        <f t="shared" si="0"/>
        <v>60658.770265893763</v>
      </c>
      <c r="G11" s="88">
        <f t="shared" si="0"/>
        <v>65456.646334503253</v>
      </c>
      <c r="H11" s="88">
        <f t="shared" si="0"/>
        <v>70872.727147036334</v>
      </c>
      <c r="I11" s="88">
        <f t="shared" si="0"/>
        <v>77023.797612300637</v>
      </c>
    </row>
    <row r="12" spans="2:17" s="5" customFormat="1" ht="19.5" customHeight="1" x14ac:dyDescent="0.3">
      <c r="B12" s="15" t="s">
        <v>10</v>
      </c>
      <c r="C12" s="79">
        <v>36801.303844192786</v>
      </c>
      <c r="D12" s="79">
        <v>41035.222601817033</v>
      </c>
      <c r="E12" s="79">
        <v>43363.623321252555</v>
      </c>
      <c r="F12" s="79">
        <v>46210.16600711894</v>
      </c>
      <c r="G12" s="79">
        <v>49840.277401691739</v>
      </c>
      <c r="H12" s="79">
        <v>53260.126301959273</v>
      </c>
      <c r="I12" s="79">
        <v>56905.346384707562</v>
      </c>
      <c r="K12" s="71"/>
      <c r="L12" s="71"/>
      <c r="M12" s="71"/>
      <c r="N12" s="71"/>
      <c r="O12" s="71"/>
      <c r="P12" s="71"/>
      <c r="Q12" s="71"/>
    </row>
    <row r="13" spans="2:17" s="5" customFormat="1" ht="19.5" customHeight="1" x14ac:dyDescent="0.3">
      <c r="B13" s="57" t="s">
        <v>11</v>
      </c>
      <c r="C13" s="79">
        <v>33532.682394782787</v>
      </c>
      <c r="D13" s="79">
        <v>37591.608793117033</v>
      </c>
      <c r="E13" s="79">
        <v>39664.567574061592</v>
      </c>
      <c r="F13" s="79">
        <v>42537.109780046063</v>
      </c>
      <c r="G13" s="79">
        <v>45740.214733756438</v>
      </c>
      <c r="H13" s="79">
        <v>48879.059043130059</v>
      </c>
      <c r="I13" s="79">
        <v>52304.275750366542</v>
      </c>
      <c r="K13" s="71"/>
      <c r="L13" s="71"/>
      <c r="M13" s="71"/>
      <c r="N13" s="71"/>
      <c r="O13" s="71"/>
      <c r="P13" s="71"/>
      <c r="Q13" s="71"/>
    </row>
    <row r="14" spans="2:17" s="5" customFormat="1" ht="19.5" customHeight="1" x14ac:dyDescent="0.3">
      <c r="B14" s="57" t="s">
        <v>12</v>
      </c>
      <c r="C14" s="79">
        <v>3268.6214494099995</v>
      </c>
      <c r="D14" s="79">
        <v>3443.6138086999999</v>
      </c>
      <c r="E14" s="79">
        <v>3699.0557471909606</v>
      </c>
      <c r="F14" s="79">
        <v>3673.0562270728769</v>
      </c>
      <c r="G14" s="79">
        <v>4100.062667935299</v>
      </c>
      <c r="H14" s="79">
        <v>4381.0672588292136</v>
      </c>
      <c r="I14" s="79">
        <v>4601.0706343410184</v>
      </c>
      <c r="K14" s="71"/>
      <c r="L14" s="71"/>
      <c r="M14" s="71"/>
      <c r="N14" s="71"/>
      <c r="O14" s="71"/>
      <c r="P14" s="71"/>
      <c r="Q14" s="71"/>
    </row>
    <row r="15" spans="2:17" s="5" customFormat="1" ht="19.5" customHeight="1" x14ac:dyDescent="0.3">
      <c r="B15" s="15" t="s">
        <v>13</v>
      </c>
      <c r="C15" s="79">
        <v>12542.643127881802</v>
      </c>
      <c r="D15" s="79">
        <v>13404.449604890084</v>
      </c>
      <c r="E15" s="79">
        <v>12360.325805772351</v>
      </c>
      <c r="F15" s="79">
        <v>14448.604258774827</v>
      </c>
      <c r="G15" s="79">
        <v>15616.368932811514</v>
      </c>
      <c r="H15" s="79">
        <v>17612.600845077061</v>
      </c>
      <c r="I15" s="79">
        <v>20118.451227593083</v>
      </c>
      <c r="K15" s="71"/>
      <c r="L15" s="71"/>
      <c r="M15" s="71"/>
      <c r="N15" s="71"/>
      <c r="O15" s="71"/>
      <c r="P15" s="71"/>
      <c r="Q15" s="71"/>
    </row>
    <row r="16" spans="2:17" s="5" customFormat="1" ht="19.5" customHeight="1" x14ac:dyDescent="0.3">
      <c r="B16" s="57" t="s">
        <v>11</v>
      </c>
      <c r="C16" s="79">
        <v>9684.2087350118018</v>
      </c>
      <c r="D16" s="79">
        <v>9459.4309744500842</v>
      </c>
      <c r="E16" s="79">
        <v>8839.3258057723506</v>
      </c>
      <c r="F16" s="79">
        <v>10182.604258774827</v>
      </c>
      <c r="G16" s="79">
        <v>11866.368932811514</v>
      </c>
      <c r="H16" s="79">
        <v>13862.600845077061</v>
      </c>
      <c r="I16" s="79">
        <v>16218.451227593083</v>
      </c>
      <c r="K16" s="71"/>
      <c r="L16" s="71"/>
      <c r="M16" s="71"/>
      <c r="N16" s="71"/>
      <c r="O16" s="71"/>
      <c r="P16" s="71"/>
      <c r="Q16" s="71"/>
    </row>
    <row r="17" spans="2:17" ht="19.5" customHeight="1" x14ac:dyDescent="0.3">
      <c r="B17" s="57" t="s">
        <v>12</v>
      </c>
      <c r="C17" s="79">
        <v>2858.43439287</v>
      </c>
      <c r="D17" s="81">
        <v>3945.0186304399995</v>
      </c>
      <c r="E17" s="81">
        <v>3521</v>
      </c>
      <c r="F17" s="81">
        <v>4266</v>
      </c>
      <c r="G17" s="81">
        <v>3750</v>
      </c>
      <c r="H17" s="81">
        <v>3750</v>
      </c>
      <c r="I17" s="81">
        <v>3900</v>
      </c>
      <c r="K17" s="72"/>
      <c r="L17" s="72"/>
      <c r="M17" s="72"/>
      <c r="N17" s="72"/>
      <c r="O17" s="72"/>
      <c r="P17" s="72"/>
      <c r="Q17" s="72"/>
    </row>
    <row r="18" spans="2:17" ht="19.5" customHeight="1" x14ac:dyDescent="0.3">
      <c r="B18" s="15" t="s">
        <v>48</v>
      </c>
      <c r="C18" s="82">
        <v>9544.7000793384104</v>
      </c>
      <c r="D18" s="82">
        <v>10840.410830489905</v>
      </c>
      <c r="E18" s="82">
        <v>9083.6028032617469</v>
      </c>
      <c r="F18" s="82">
        <v>10624.342047252343</v>
      </c>
      <c r="G18" s="82">
        <v>11905.302428984534</v>
      </c>
      <c r="H18" s="82">
        <v>14008.713460767911</v>
      </c>
      <c r="I18" s="83">
        <v>16399.733168780338</v>
      </c>
      <c r="K18" s="70"/>
      <c r="L18" s="70"/>
      <c r="M18" s="70"/>
      <c r="N18" s="70"/>
      <c r="O18" s="70"/>
      <c r="P18" s="70"/>
    </row>
    <row r="19" spans="2:17" ht="19.5" customHeight="1" x14ac:dyDescent="0.3">
      <c r="B19" s="57" t="s">
        <v>12</v>
      </c>
      <c r="C19" s="82">
        <v>2329.3560386500017</v>
      </c>
      <c r="D19" s="82">
        <v>2387.8984020500011</v>
      </c>
      <c r="E19" s="82">
        <v>-387.57458109206709</v>
      </c>
      <c r="F19" s="82">
        <v>1368.2001239779693</v>
      </c>
      <c r="G19" s="82">
        <v>912.42368975283352</v>
      </c>
      <c r="H19" s="82">
        <v>1256.9894977763088</v>
      </c>
      <c r="I19" s="83">
        <v>1679.1881235227138</v>
      </c>
      <c r="K19" s="70"/>
      <c r="L19" s="70"/>
      <c r="M19" s="70"/>
      <c r="N19" s="70"/>
      <c r="O19" s="70"/>
      <c r="P19" s="70"/>
    </row>
    <row r="20" spans="2:17" ht="19.5" customHeight="1" x14ac:dyDescent="0.3">
      <c r="B20" s="57" t="s">
        <v>11</v>
      </c>
      <c r="C20" s="82">
        <v>7215.3440406884092</v>
      </c>
      <c r="D20" s="82">
        <v>8452.5124284399044</v>
      </c>
      <c r="E20" s="82">
        <v>9471.177384353814</v>
      </c>
      <c r="F20" s="82">
        <v>9256.1419232743738</v>
      </c>
      <c r="G20" s="82">
        <v>10992.878739231701</v>
      </c>
      <c r="H20" s="82">
        <v>12751.723962991602</v>
      </c>
      <c r="I20" s="83">
        <v>14720.545045257624</v>
      </c>
      <c r="K20" s="70"/>
      <c r="L20" s="70"/>
      <c r="M20" s="70"/>
      <c r="N20" s="70"/>
      <c r="O20" s="70"/>
      <c r="P20" s="70"/>
    </row>
    <row r="21" spans="2:17" ht="19.5" customHeight="1" x14ac:dyDescent="0.3">
      <c r="B21" s="15" t="s">
        <v>14</v>
      </c>
      <c r="C21" s="82">
        <v>11822.151901180001</v>
      </c>
      <c r="D21" s="82">
        <v>12907.343685770002</v>
      </c>
      <c r="E21" s="82">
        <v>12568.477318694073</v>
      </c>
      <c r="F21" s="82">
        <v>13649.258753119055</v>
      </c>
      <c r="G21" s="82">
        <v>14808.483333206404</v>
      </c>
      <c r="H21" s="82">
        <v>16173.05675299104</v>
      </c>
      <c r="I21" s="83">
        <v>17643.262992459469</v>
      </c>
      <c r="K21" s="70"/>
      <c r="L21" s="70"/>
      <c r="M21" s="70"/>
      <c r="N21" s="70"/>
      <c r="O21" s="70"/>
      <c r="P21" s="70"/>
    </row>
    <row r="22" spans="2:17" ht="19.5" customHeight="1" x14ac:dyDescent="0.3">
      <c r="B22" s="15" t="s">
        <v>15</v>
      </c>
      <c r="C22" s="82">
        <v>10506.31617455</v>
      </c>
      <c r="D22" s="82">
        <v>11417.838802509999</v>
      </c>
      <c r="E22" s="82">
        <v>10847.065412335654</v>
      </c>
      <c r="F22" s="82">
        <v>12095.183049505515</v>
      </c>
      <c r="G22" s="82">
        <v>13162.391548192394</v>
      </c>
      <c r="H22" s="82">
        <v>14498.975501119276</v>
      </c>
      <c r="I22" s="83">
        <v>15970.990241263829</v>
      </c>
      <c r="K22" s="70"/>
      <c r="L22" s="70"/>
      <c r="M22" s="70"/>
      <c r="N22" s="70"/>
      <c r="O22" s="70"/>
      <c r="P22" s="70"/>
    </row>
    <row r="23" spans="2:17" x14ac:dyDescent="0.3">
      <c r="B23" s="57" t="s">
        <v>16</v>
      </c>
      <c r="C23" s="84">
        <v>4540.2628557099997</v>
      </c>
      <c r="D23" s="84">
        <v>4593.0685114799999</v>
      </c>
      <c r="E23" s="84">
        <v>4475.3490745957943</v>
      </c>
      <c r="F23" s="84">
        <v>5041.0469281155893</v>
      </c>
      <c r="G23" s="84">
        <v>5504.6840360278375</v>
      </c>
      <c r="H23" s="84">
        <v>6175.289891258858</v>
      </c>
      <c r="I23" s="85">
        <v>6918.1111251597895</v>
      </c>
      <c r="K23" s="70"/>
      <c r="L23" s="70"/>
      <c r="M23" s="70"/>
      <c r="N23" s="70"/>
      <c r="O23" s="70"/>
      <c r="P23" s="70"/>
    </row>
    <row r="24" spans="2:17" x14ac:dyDescent="0.3">
      <c r="B24" s="57" t="s">
        <v>17</v>
      </c>
      <c r="C24" s="84">
        <v>5966.0533188399995</v>
      </c>
      <c r="D24" s="84">
        <v>6824.7702910299995</v>
      </c>
      <c r="E24" s="84">
        <v>6371.7163377398592</v>
      </c>
      <c r="F24" s="84">
        <v>7054.1361213899254</v>
      </c>
      <c r="G24" s="84">
        <v>7657.7075121645576</v>
      </c>
      <c r="H24" s="84">
        <v>8323.6856098604167</v>
      </c>
      <c r="I24" s="85">
        <v>9052.879116104039</v>
      </c>
    </row>
    <row r="25" spans="2:17" x14ac:dyDescent="0.3">
      <c r="B25" s="15" t="s">
        <v>18</v>
      </c>
      <c r="C25" s="79">
        <v>12351.230255399998</v>
      </c>
      <c r="D25" s="79">
        <v>14465.985283720001</v>
      </c>
      <c r="E25" s="79">
        <v>16477.05189978614</v>
      </c>
      <c r="F25" s="79">
        <v>16547.058629141087</v>
      </c>
      <c r="G25" s="79">
        <v>17646.059643453569</v>
      </c>
      <c r="H25" s="79">
        <v>18666.06725521473</v>
      </c>
      <c r="I25" s="79">
        <v>19864.074868936754</v>
      </c>
    </row>
    <row r="26" spans="2:17" x14ac:dyDescent="0.3">
      <c r="B26" s="15" t="s">
        <v>19</v>
      </c>
      <c r="C26" s="79">
        <v>9492.795862529998</v>
      </c>
      <c r="D26" s="79">
        <v>10519.445283720001</v>
      </c>
      <c r="E26" s="79">
        <v>12956.05189978614</v>
      </c>
      <c r="F26" s="79">
        <v>12281.058629141085</v>
      </c>
      <c r="G26" s="79">
        <v>13896.059643453571</v>
      </c>
      <c r="H26" s="79">
        <v>14916.067255214732</v>
      </c>
      <c r="I26" s="80">
        <v>15964.074868936756</v>
      </c>
    </row>
    <row r="27" spans="2:17" x14ac:dyDescent="0.3">
      <c r="B27" s="15" t="s">
        <v>20</v>
      </c>
      <c r="C27" s="79">
        <v>2858.43439287</v>
      </c>
      <c r="D27" s="79">
        <v>3946.54</v>
      </c>
      <c r="E27" s="79">
        <v>3521</v>
      </c>
      <c r="F27" s="79">
        <v>4266</v>
      </c>
      <c r="G27" s="79">
        <v>3750</v>
      </c>
      <c r="H27" s="79">
        <v>3750</v>
      </c>
      <c r="I27" s="80">
        <v>3900</v>
      </c>
    </row>
    <row r="28" spans="2:17" x14ac:dyDescent="0.3">
      <c r="B28" s="15" t="s">
        <v>35</v>
      </c>
      <c r="C28" s="75">
        <v>5.2228483502837715E-2</v>
      </c>
      <c r="D28" s="75">
        <v>4.7755902396760017E-2</v>
      </c>
      <c r="E28" s="75">
        <v>-7.7490406124230094E-3</v>
      </c>
      <c r="F28" s="75">
        <v>2.4974114965320642E-2</v>
      </c>
      <c r="G28" s="75">
        <v>1.5221615430013533E-2</v>
      </c>
      <c r="H28" s="75">
        <v>1.914076860865218E-2</v>
      </c>
      <c r="I28" s="76">
        <v>2.3335376449342353E-2</v>
      </c>
    </row>
    <row r="29" spans="2:17" x14ac:dyDescent="0.3">
      <c r="B29" s="15" t="s">
        <v>36</v>
      </c>
      <c r="C29" s="75">
        <v>-7.2500908536078483E-3</v>
      </c>
      <c r="D29" s="75">
        <v>-2.7051137776774172E-2</v>
      </c>
      <c r="E29" s="75">
        <v>-7.5147722514817328E-2</v>
      </c>
      <c r="F29" s="75">
        <v>-4.8330984152140523E-2</v>
      </c>
      <c r="G29" s="75">
        <v>-4.3167545881086587E-2</v>
      </c>
      <c r="H29" s="75">
        <v>-3.415537288560596E-2</v>
      </c>
      <c r="I29" s="76">
        <v>-2.7388019486436169E-2</v>
      </c>
    </row>
    <row r="30" spans="2:17" x14ac:dyDescent="0.3">
      <c r="B30" s="15" t="s">
        <v>37</v>
      </c>
      <c r="C30" s="75">
        <v>-2.140573326871751E-2</v>
      </c>
      <c r="D30" s="75">
        <v>-2.140573326871751E-2</v>
      </c>
      <c r="E30" s="75">
        <v>-7.694715335765788E-2</v>
      </c>
      <c r="F30" s="75">
        <v>-5.0338842942708434E-2</v>
      </c>
      <c r="G30" s="75">
        <v>-4.5419699245943301E-2</v>
      </c>
      <c r="H30" s="75">
        <v>-3.6211081200384486E-2</v>
      </c>
      <c r="I30" s="76">
        <v>-2.9264090295019758E-2</v>
      </c>
    </row>
    <row r="31" spans="2:17" x14ac:dyDescent="0.3">
      <c r="B31" s="15" t="s">
        <v>38</v>
      </c>
      <c r="C31" s="75">
        <v>0.38898957716874621</v>
      </c>
      <c r="D31" s="75">
        <v>0.41151639038285076</v>
      </c>
      <c r="E31" s="75">
        <v>0.5623958698085384</v>
      </c>
      <c r="F31" s="75">
        <v>0.51914072568315528</v>
      </c>
      <c r="G31" s="75">
        <v>0.52212907570533806</v>
      </c>
      <c r="H31" s="75">
        <v>0.50028134805750257</v>
      </c>
      <c r="I31" s="76">
        <v>0.48836633841639182</v>
      </c>
      <c r="J31" s="38"/>
    </row>
    <row r="32" spans="2:17" x14ac:dyDescent="0.3">
      <c r="B32" s="15" t="s">
        <v>39</v>
      </c>
      <c r="C32" s="75">
        <v>0.31610733726678392</v>
      </c>
      <c r="D32" s="75">
        <v>0.31498056596449947</v>
      </c>
      <c r="E32" s="75">
        <v>0.44300961149520141</v>
      </c>
      <c r="F32" s="75">
        <v>0.3925853861136599</v>
      </c>
      <c r="G32" s="75">
        <v>0.38260734062158863</v>
      </c>
      <c r="H32" s="75">
        <v>0.35115417591586895</v>
      </c>
      <c r="I32" s="76">
        <v>0.33239814948323476</v>
      </c>
      <c r="J32" s="38"/>
    </row>
    <row r="33" spans="2:10" x14ac:dyDescent="0.3">
      <c r="B33" s="15" t="s">
        <v>40</v>
      </c>
      <c r="C33" s="75">
        <v>7.2882239901962326E-2</v>
      </c>
      <c r="D33" s="75">
        <v>9.6535824418351346E-2</v>
      </c>
      <c r="E33" s="75">
        <v>0.11938625831333698</v>
      </c>
      <c r="F33" s="75">
        <v>0.12655533956949541</v>
      </c>
      <c r="G33" s="75">
        <v>0.13952173508374943</v>
      </c>
      <c r="H33" s="75">
        <v>0.14912717214163362</v>
      </c>
      <c r="I33" s="76">
        <v>0.155968188933157</v>
      </c>
      <c r="J33" s="38"/>
    </row>
    <row r="34" spans="2:10" x14ac:dyDescent="0.3">
      <c r="B34" s="15" t="s">
        <v>21</v>
      </c>
      <c r="C34" s="79">
        <v>-175.11710887400022</v>
      </c>
      <c r="D34" s="82">
        <v>-355.41899999999987</v>
      </c>
      <c r="E34" s="82">
        <v>-478.14309999999989</v>
      </c>
      <c r="F34" s="82">
        <v>63.822780000000009</v>
      </c>
      <c r="G34" s="82">
        <v>460.95200000000006</v>
      </c>
      <c r="H34" s="82">
        <v>732.6979</v>
      </c>
      <c r="I34" s="83">
        <v>950.99789999999996</v>
      </c>
    </row>
    <row r="35" spans="2:10" x14ac:dyDescent="0.3">
      <c r="B35" s="15" t="s">
        <v>22</v>
      </c>
      <c r="C35" s="79">
        <v>20913.736000000001</v>
      </c>
      <c r="D35" s="82">
        <v>24735.544716000004</v>
      </c>
      <c r="E35" s="82">
        <v>26193.701219766172</v>
      </c>
      <c r="F35" s="82">
        <v>28656.812126630444</v>
      </c>
      <c r="G35" s="82">
        <v>31559.417780784483</v>
      </c>
      <c r="H35" s="82">
        <v>34718.63049008041</v>
      </c>
      <c r="I35" s="83">
        <v>38117.394071839</v>
      </c>
    </row>
    <row r="36" spans="2:10" x14ac:dyDescent="0.3">
      <c r="B36" s="15" t="s">
        <v>46</v>
      </c>
      <c r="C36" s="82">
        <v>20738.619903999999</v>
      </c>
      <c r="D36" s="82">
        <v>24380.125716000002</v>
      </c>
      <c r="E36" s="82">
        <v>25715.55811976617</v>
      </c>
      <c r="F36" s="82">
        <v>28720.634906630443</v>
      </c>
      <c r="G36" s="82">
        <v>32020.369780784484</v>
      </c>
      <c r="H36" s="82">
        <v>35451.328390080409</v>
      </c>
      <c r="I36" s="83">
        <v>39068.391971839003</v>
      </c>
    </row>
    <row r="37" spans="2:10" x14ac:dyDescent="0.3">
      <c r="B37" s="15" t="s">
        <v>47</v>
      </c>
      <c r="C37" s="84">
        <v>9675.9689969999999</v>
      </c>
      <c r="D37" s="84">
        <v>11495.454605000001</v>
      </c>
      <c r="E37" s="84">
        <v>12244.675854674102</v>
      </c>
      <c r="F37" s="84">
        <v>14020.187065631313</v>
      </c>
      <c r="G37" s="84">
        <v>15901.873146393084</v>
      </c>
      <c r="H37" s="84">
        <v>17965.876871121429</v>
      </c>
      <c r="I37" s="85">
        <v>20019.107495596134</v>
      </c>
    </row>
    <row r="38" spans="2:10" x14ac:dyDescent="0.3">
      <c r="B38" t="s">
        <v>43</v>
      </c>
      <c r="C38" s="86">
        <v>26485.753000000001</v>
      </c>
      <c r="D38" s="86">
        <v>31707.712</v>
      </c>
      <c r="E38" s="86">
        <v>36341.379945809254</v>
      </c>
      <c r="F38" s="86">
        <v>37413.33124962385</v>
      </c>
      <c r="G38" s="86">
        <v>41732.223160742273</v>
      </c>
      <c r="H38" s="86">
        <v>46080.862019111388</v>
      </c>
      <c r="I38" s="86">
        <v>50763.15775528783</v>
      </c>
    </row>
    <row r="39" spans="2:10" x14ac:dyDescent="0.3">
      <c r="B39" t="s">
        <v>32</v>
      </c>
      <c r="C39" s="87">
        <v>-6.7685855857637228E-2</v>
      </c>
      <c r="D39" s="87">
        <v>-5.0189422006885538E-2</v>
      </c>
      <c r="E39" s="87">
        <v>-6.5358140532885231E-2</v>
      </c>
      <c r="F39" s="87">
        <v>-6.9635451214387134E-2</v>
      </c>
      <c r="G39" s="87">
        <v>-6.2019061601629788E-2</v>
      </c>
      <c r="H39" s="87">
        <v>-5.4933099055553228E-2</v>
      </c>
      <c r="I39" s="87">
        <v>-5.2057921773778597E-2</v>
      </c>
    </row>
    <row r="40" spans="2:10" x14ac:dyDescent="0.3">
      <c r="B40" t="s">
        <v>44</v>
      </c>
      <c r="C40" s="87">
        <v>-0.1063809598306338</v>
      </c>
      <c r="D40" s="87">
        <v>-8.8069982137855107E-2</v>
      </c>
      <c r="E40" s="87">
        <v>-0.11403465817824049</v>
      </c>
      <c r="F40" s="87">
        <v>-0.10704381524102097</v>
      </c>
      <c r="G40" s="87">
        <v>-9.2146143057102239E-2</v>
      </c>
      <c r="H40" s="87">
        <v>-7.9282529388346998E-2</v>
      </c>
      <c r="I40" s="87">
        <v>-7.0793594279709063E-2</v>
      </c>
    </row>
    <row r="41" spans="2:10" x14ac:dyDescent="0.3">
      <c r="B41" t="s">
        <v>45</v>
      </c>
      <c r="C41" s="81">
        <v>394.84646128181595</v>
      </c>
      <c r="D41" s="81">
        <v>383.76593855316298</v>
      </c>
      <c r="E41" s="81">
        <v>310.31401152415248</v>
      </c>
      <c r="F41" s="81">
        <v>684.70137941657129</v>
      </c>
      <c r="G41" s="81">
        <v>704.07021413310179</v>
      </c>
      <c r="H41" s="81">
        <v>766.32822473635406</v>
      </c>
      <c r="I41" s="81">
        <v>835.05780784941294</v>
      </c>
    </row>
    <row r="42" spans="2:10" x14ac:dyDescent="0.3">
      <c r="B42" t="s">
        <v>23</v>
      </c>
      <c r="C42" s="81">
        <v>3289.8239549011978</v>
      </c>
      <c r="D42" s="81">
        <v>3505.7905423336424</v>
      </c>
      <c r="E42" s="81">
        <v>3775.1805529299436</v>
      </c>
      <c r="F42" s="81">
        <v>3970.6786818722844</v>
      </c>
      <c r="G42" s="81">
        <v>4062.0590471781434</v>
      </c>
      <c r="H42" s="81">
        <v>4115.0655198369868</v>
      </c>
      <c r="I42" s="81">
        <v>4389.1437804803427</v>
      </c>
    </row>
    <row r="43" spans="2:10" x14ac:dyDescent="0.3">
      <c r="B43" t="s">
        <v>24</v>
      </c>
      <c r="C43" s="81">
        <v>3.6550152182634403</v>
      </c>
      <c r="D43" s="81">
        <v>3.7786852314809867</v>
      </c>
      <c r="E43" s="81">
        <v>5.25</v>
      </c>
      <c r="F43" s="81">
        <v>4.7699999999999996</v>
      </c>
      <c r="G43" s="81">
        <v>4.4499999999999993</v>
      </c>
      <c r="H43" s="81">
        <v>4</v>
      </c>
      <c r="I43" s="81">
        <v>3.8</v>
      </c>
    </row>
  </sheetData>
  <sheetProtection algorithmName="SHA-512" hashValue="NIbqU0WOEBe1c5+Mf8aC6/GF9y70580Uj7zCHqjW9xCYQEYftIT7xc0mxe7Zq1f1fafRcmcEJKqV5C6RCdCkJQ==" saltValue="tedMD1IkYLLkeiuYpRaPkg==" spinCount="100000" sheet="1" formatCells="0" formatColumns="0" formatRows="0" insertColumns="0" insertRows="0" insertHyperlinks="0" deleteColumns="0" deleteRows="0" sort="0" autoFilter="0" pivotTables="0"/>
  <conditionalFormatting sqref="B18:I23 B12:C17 B4:I11 B25:I37">
    <cfRule type="expression" dxfId="21" priority="17">
      <formula>MOD(ROW(),2)=0</formula>
    </cfRule>
  </conditionalFormatting>
  <conditionalFormatting sqref="D12:I16">
    <cfRule type="expression" dxfId="20" priority="4">
      <formula>MOD(ROW(),2)=0</formula>
    </cfRule>
  </conditionalFormatting>
  <conditionalFormatting sqref="C24">
    <cfRule type="expression" dxfId="19" priority="3">
      <formula>MOD(ROW(),2)=0</formula>
    </cfRule>
  </conditionalFormatting>
  <conditionalFormatting sqref="D24:I24">
    <cfRule type="expression" dxfId="18" priority="2">
      <formula>MOD(ROW(),2)=0</formula>
    </cfRule>
  </conditionalFormatting>
  <conditionalFormatting sqref="B24">
    <cfRule type="expression" dxfId="17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workbookViewId="0">
      <selection activeCell="C4" sqref="C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2020</v>
      </c>
      <c r="D3">
        <f ca="1">MATCH(C3,lstYears,0)+1</f>
        <v>4</v>
      </c>
    </row>
    <row r="4" spans="1:9" ht="19.5" customHeight="1" x14ac:dyDescent="0.3">
      <c r="B4" t="s">
        <v>3</v>
      </c>
      <c r="C4" s="2">
        <f>C3-1</f>
        <v>2019</v>
      </c>
      <c r="D4">
        <f ca="1">MATCH(C4,lstYears,0)+1</f>
        <v>3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 t="e">
        <f ca="1">MATCH(D7,lstYears,0)+1</f>
        <v>#N/A</v>
      </c>
      <c r="E6" s="1">
        <f ca="1">MATCH(E7,lstYears,0)+1</f>
        <v>2</v>
      </c>
      <c r="F6" s="1">
        <f ca="1">MATCH(F7,lstYears,0)+1</f>
        <v>3</v>
      </c>
      <c r="G6" s="1">
        <f ca="1">MATCH(G7,lstYears,0)+1</f>
        <v>4</v>
      </c>
      <c r="I6">
        <f ca="1">COUNT(C6:G6)</f>
        <v>3</v>
      </c>
    </row>
    <row r="7" spans="1:9" ht="19.5" thickBot="1" x14ac:dyDescent="0.35">
      <c r="B7" s="7" t="s">
        <v>4</v>
      </c>
      <c r="C7" s="12">
        <f>D7-1</f>
        <v>2016</v>
      </c>
      <c r="D7" s="12">
        <f>E7-1</f>
        <v>2017</v>
      </c>
      <c r="E7" s="12">
        <f>F7-1</f>
        <v>2018</v>
      </c>
      <c r="F7" s="12">
        <f>G7-1</f>
        <v>2019</v>
      </c>
      <c r="G7" s="12">
        <f>C3</f>
        <v>2020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38" t="e">
        <f ca="1">IFERROR(INDEX('Macro Data Input'!$B$4:$I$50,$A8,C$6),NA())</f>
        <v>#N/A</v>
      </c>
      <c r="D8" s="38" t="e">
        <f ca="1">IFERROR(INDEX('Macro Data Input'!$B$4:$I$50,$A8,D$6),NA())</f>
        <v>#N/A</v>
      </c>
      <c r="E8" s="38">
        <f ca="1">IFERROR(INDEX('Macro Data Input'!$B$4:$I$50,$A8,E$6),NA())</f>
        <v>4.8701558006479351E-2</v>
      </c>
      <c r="F8" s="38">
        <f ca="1">IFERROR(INDEX('Macro Data Input'!$B$4:$I$50,$A8,F$6),NA())</f>
        <v>5.1366151239379265E-2</v>
      </c>
      <c r="G8" s="38">
        <f ca="1">IFERROR(INDEX('Macro Data Input'!$B$4:$I$50,$A8,G$6),NA())</f>
        <v>-5.2389597775168051E-2</v>
      </c>
      <c r="H8" s="3">
        <f ca="1">IFERROR(G8-F8,"")</f>
        <v>-0.10375574901454732</v>
      </c>
    </row>
    <row r="9" spans="1:9" ht="19.5" customHeight="1" x14ac:dyDescent="0.3">
      <c r="A9">
        <f>MATCH(B9,'Macro Data Input'!$B$4:$B$47,0)</f>
        <v>3</v>
      </c>
      <c r="B9" t="str">
        <f>B17</f>
        <v>მშპ-ს დეფლატორი</v>
      </c>
      <c r="C9" s="38" t="e">
        <f ca="1">IFERROR(INDEX('Macro Data Input'!$B$4:$I$50,$A9,C$6),NA())</f>
        <v>#N/A</v>
      </c>
      <c r="D9" s="38" t="e">
        <f ca="1">IFERROR(INDEX('Macro Data Input'!$B$4:$I$50,$A9,D$6),NA())</f>
        <v>#N/A</v>
      </c>
      <c r="E9" s="38">
        <f ca="1">IFERROR(INDEX('Macro Data Input'!$B$4:$I$50,$A9,E$6),NA())</f>
        <v>4.2958465371050192E-2</v>
      </c>
      <c r="F9" s="38">
        <f ca="1">IFERROR(INDEX('Macro Data Input'!$B$4:$I$50,$A9,F$6),NA())</f>
        <v>6.3742719467123843E-2</v>
      </c>
      <c r="G9" s="38">
        <f ca="1">IFERROR(INDEX('Macro Data Input'!$B$4:$I$50,$A9,G$6),NA())</f>
        <v>5.631011264278718E-2</v>
      </c>
      <c r="H9" s="3">
        <f ca="1">IFERROR(G9-F9,"")</f>
        <v>-7.4326068243366628E-3</v>
      </c>
    </row>
    <row r="10" spans="1:9" ht="19.5" customHeight="1" x14ac:dyDescent="0.3">
      <c r="A10">
        <f>MATCH(B10,'Macro Data Input'!$B$4:$B$47,0)</f>
        <v>27</v>
      </c>
      <c r="B10" t="str">
        <f>B41</f>
        <v>ფისკალური ბალანსი (% მშპ-თან)</v>
      </c>
      <c r="C10" s="38" t="e">
        <f ca="1">IFERROR(INDEX('Macro Data Input'!$B$4:$I$50,$A10,C$6),NA())</f>
        <v>#N/A</v>
      </c>
      <c r="D10" s="38" t="e">
        <f ca="1">IFERROR(INDEX('Macro Data Input'!$B$4:$I$50,$A10,D$6),NA())</f>
        <v>#N/A</v>
      </c>
      <c r="E10" s="38">
        <f ca="1">IFERROR(INDEX('Macro Data Input'!$B$4:$I$50,$A10,E$6),NA())</f>
        <v>-2.140573326871751E-2</v>
      </c>
      <c r="F10" s="38">
        <f ca="1">IFERROR(INDEX('Macro Data Input'!$B$4:$I$50,$A10,F$6),NA())</f>
        <v>-2.140573326871751E-2</v>
      </c>
      <c r="G10" s="38">
        <f ca="1">IFERROR(INDEX('Macro Data Input'!$B$4:$I$50,$A10,G$6),NA())</f>
        <v>-7.694715335765788E-2</v>
      </c>
      <c r="H10" s="3">
        <f ca="1">IFERROR(G10-F10,"")</f>
        <v>-5.554142008894037E-2</v>
      </c>
    </row>
    <row r="11" spans="1:9" ht="19.5" customHeight="1" x14ac:dyDescent="0.3">
      <c r="A11">
        <f>MATCH(B11,'Macro Data Input'!$B$4:$B$47,0)</f>
        <v>36</v>
      </c>
      <c r="B11" t="str">
        <f>B50</f>
        <v>მიმდინარე ანგარიშის ბალანსი (% მშპ-თან)</v>
      </c>
      <c r="C11" s="38" t="e">
        <f ca="1">IFERROR(INDEX('Macro Data Input'!$B$4:$I$50,$A11,C$6),NA())</f>
        <v>#N/A</v>
      </c>
      <c r="D11" s="38" t="e">
        <f ca="1">IFERROR(INDEX('Macro Data Input'!$B$4:$I$50,$A11,D$6),NA())</f>
        <v>#N/A</v>
      </c>
      <c r="E11" s="38">
        <f ca="1">IFERROR(INDEX('Macro Data Input'!$B$4:$I$50,$A11,E$6),NA())</f>
        <v>-6.7685855857637228E-2</v>
      </c>
      <c r="F11" s="38">
        <f ca="1">IFERROR(INDEX('Macro Data Input'!$B$4:$I$50,$A11,F$6),NA())</f>
        <v>-5.0189422006885538E-2</v>
      </c>
      <c r="G11" s="38">
        <f ca="1">IFERROR(INDEX('Macro Data Input'!$B$4:$I$50,$A11,G$6),NA())</f>
        <v>-6.5358140532885231E-2</v>
      </c>
      <c r="H11" s="3">
        <f ca="1">IFERROR(G11-F11,"")</f>
        <v>-1.5168718525999693E-2</v>
      </c>
    </row>
    <row r="12" spans="1:9" ht="19.5" customHeight="1" x14ac:dyDescent="0.3">
      <c r="A12">
        <f>MATCH(B12,'Macro Data Input'!$B$4:$B$47,0)</f>
        <v>7</v>
      </c>
      <c r="B12" t="str">
        <f>B21</f>
        <v>მშპ ერთ სულ მოსახლეზე დოლარი</v>
      </c>
      <c r="C12" s="53" t="e">
        <f ca="1">IFERROR(INDEX('Macro Data Input'!$B$4:$I$50,$A12,C$6),NA())</f>
        <v>#N/A</v>
      </c>
      <c r="D12" s="53" t="e">
        <f ca="1">IFERROR(INDEX('Macro Data Input'!$B$4:$I$50,$A12,D$6),NA())</f>
        <v>#N/A</v>
      </c>
      <c r="E12" s="53">
        <f ca="1">IFERROR(INDEX('Macro Data Input'!$B$4:$I$50,$A12,E$6),NA())</f>
        <v>4717.8830619499568</v>
      </c>
      <c r="F12" s="53">
        <f ca="1">IFERROR(INDEX('Macro Data Input'!$B$4:$I$50,$A12,F$6),NA())</f>
        <v>4749.1490338305139</v>
      </c>
      <c r="G12" s="53">
        <f ca="1">IFERROR(INDEX('Macro Data Input'!$B$4:$I$50,$A12,G$6),NA())</f>
        <v>4354.5887790748293</v>
      </c>
      <c r="H12" s="3">
        <f t="shared" ref="H12" ca="1" si="0">IFERROR(G12/F12-1,"")</f>
        <v>-8.3080200672802418E-2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 t="e">
        <f ca="1">IF(B15="",NA(),IFERROR(INDEX('Macro Data Input'!$B$4:$I$41,$A15,D$6),NA()))</f>
        <v>#N/A</v>
      </c>
      <c r="E15">
        <f ca="1">IF(B15="",NA(),IFERROR(INDEX('Macro Data Input'!$B$4:$I$41,$A15,E$6),NA()))</f>
        <v>4.8701558006479351E-2</v>
      </c>
      <c r="F15">
        <f ca="1">IF(B15="",NA(),IFERROR(INDEX('Macro Data Input'!$B$4:$I$41,$A15,F$6),NA()))</f>
        <v>5.1366151239379265E-2</v>
      </c>
      <c r="G15">
        <f ca="1">IF(B15="",NA(),IFERROR(INDEX('Macro Data Input'!$B$4:$I$41,$A15,G$6),NA()))</f>
        <v>-5.2389597775168051E-2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 t="e">
        <f ca="1">IF(B16="",NA(),IFERROR(INDEX('Macro Data Input'!$B$4:$I$41,$A16,D$6),NA()))</f>
        <v>#N/A</v>
      </c>
      <c r="E16">
        <f ca="1">IF(B16="",NA(),IFERROR(INDEX('Macro Data Input'!$B$4:$I$41,$A16,E$6),NA()))</f>
        <v>2.6152447139766499E-2</v>
      </c>
      <c r="F16">
        <f ca="1">IF(B16="",NA(),IFERROR(INDEX('Macro Data Input'!$B$4:$I$41,$A16,F$6),NA()))</f>
        <v>4.8528982169673052E-2</v>
      </c>
      <c r="G16">
        <f ca="1">IF(B16="",NA(),IFERROR(INDEX('Macro Data Input'!$B$4:$I$41,$A16,G$6),NA()))</f>
        <v>5.0987587659784284E-2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 t="e">
        <f ca="1">IF(B17="",NA(),IFERROR(INDEX('Macro Data Input'!$B$4:$I$41,$A17,D$6),NA()))</f>
        <v>#N/A</v>
      </c>
      <c r="E17">
        <f ca="1">IF(B17="",NA(),IFERROR(INDEX('Macro Data Input'!$B$4:$I$41,$A17,E$6),NA()))</f>
        <v>4.2958465371050192E-2</v>
      </c>
      <c r="F17">
        <f ca="1">IF(B17="",NA(),IFERROR(INDEX('Macro Data Input'!$B$4:$I$41,$A17,F$6),NA()))</f>
        <v>6.3742719467123843E-2</v>
      </c>
      <c r="G17">
        <f ca="1">IF(B17="",NA(),IFERROR(INDEX('Macro Data Input'!$B$4:$I$41,$A17,G$6),NA()))</f>
        <v>5.631011264278718E-2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 t="e">
        <f ca="1">IF(B18="",NA(),IFERROR(INDEX('Macro Data Input'!$B$4:$I$41,$A18,D$6),NA()))</f>
        <v>#N/A</v>
      </c>
      <c r="E18">
        <f ca="1">IF(B18="",NA(),IFERROR(INDEX('Macro Data Input'!$B$4:$I$41,$A18,E$6),NA()))</f>
        <v>44599.342780523992</v>
      </c>
      <c r="F18">
        <f ca="1">IF(B18="",NA(),IFERROR(INDEX('Macro Data Input'!$B$4:$I$41,$A18,F$6),NA()))</f>
        <v>50002.162710928205</v>
      </c>
      <c r="G18">
        <f ca="1">IF(B18="",NA(),IFERROR(INDEX('Macro Data Input'!$B$4:$I$41,$A18,G$6),NA()))</f>
        <v>50015.814921749159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 t="e">
        <f ca="1">IF(B19="",NA(),IFERROR(INDEX('Macro Data Input'!$B$4:$I$41,$A19,D$6),NA()))</f>
        <v>#N/A</v>
      </c>
      <c r="E19">
        <f ca="1">IF(B19="",NA(),IFERROR(INDEX('Macro Data Input'!$B$4:$I$41,$A19,E$6),NA()))</f>
        <v>17581.420047685016</v>
      </c>
      <c r="F19">
        <f ca="1">IF(B19="",NA(),IFERROR(INDEX('Macro Data Input'!$B$4:$I$41,$A19,F$6),NA()))</f>
        <v>17683.285458102699</v>
      </c>
      <c r="G19">
        <f ca="1">IF(B19="",NA(),IFERROR(INDEX('Macro Data Input'!$B$4:$I$41,$A19,G$6),NA()))</f>
        <v>16185.388140214516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 t="e">
        <f ca="1">IF(B20="",NA(),IFERROR(INDEX('Macro Data Input'!$B$4:$I$41,$A20,D$6),NA()))</f>
        <v>#N/A</v>
      </c>
      <c r="E20">
        <f ca="1">IF(B20="",NA(),IFERROR(INDEX('Macro Data Input'!$B$4:$I$41,$A20,E$6),NA()))</f>
        <v>11968.002772679331</v>
      </c>
      <c r="F20">
        <f ca="1">IF(B20="",NA(),IFERROR(INDEX('Macro Data Input'!$B$4:$I$41,$A20,F$6),NA()))</f>
        <v>13428.936794052046</v>
      </c>
      <c r="G20">
        <f ca="1">IF(B20="",NA(),IFERROR(INDEX('Macro Data Input'!$B$4:$I$41,$A20,G$6),NA()))</f>
        <v>13456.477197070524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 t="e">
        <f ca="1">IF(B21="",NA(),IFERROR(INDEX('Macro Data Input'!$B$4:$I$41,$A21,D$6),NA()))</f>
        <v>#N/A</v>
      </c>
      <c r="E21">
        <f ca="1">IF(B21="",NA(),IFERROR(INDEX('Macro Data Input'!$B$4:$I$41,$A21,E$6),NA()))</f>
        <v>4717.8830619499568</v>
      </c>
      <c r="F21">
        <f ca="1">IF(B21="",NA(),IFERROR(INDEX('Macro Data Input'!$B$4:$I$41,$A21,F$6),NA()))</f>
        <v>4749.1490338305139</v>
      </c>
      <c r="G21">
        <f ca="1">IF(B21="",NA(),IFERROR(INDEX('Macro Data Input'!$B$4:$I$41,$A21,G$6),NA()))</f>
        <v>4354.5887790748293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 t="e">
        <f ca="1">IF(B22="",NA(),IFERROR(INDEX('Macro Data Input'!$B$4:$I$41,$A22,D$6),NA()))</f>
        <v>#N/A</v>
      </c>
      <c r="E22">
        <f ca="1">IF(B22="",NA(),IFERROR(INDEX('Macro Data Input'!$B$4:$I$41,$A22,E$6),NA()))</f>
        <v>49343.946972074584</v>
      </c>
      <c r="F22">
        <f ca="1">IF(B22="",NA(),IFERROR(INDEX('Macro Data Input'!$B$4:$I$41,$A22,F$6),NA()))</f>
        <v>54439.672206707117</v>
      </c>
      <c r="G22">
        <f ca="1">IF(B22="",NA(),IFERROR(INDEX('Macro Data Input'!$B$4:$I$41,$A22,G$6),NA()))</f>
        <v>55723.949127024905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 t="e">
        <f ca="1">IF(B23="",NA(),IFERROR(INDEX('Macro Data Input'!$B$4:$I$41,$A23,D$6),NA()))</f>
        <v>#N/A</v>
      </c>
      <c r="E23">
        <f ca="1">IF(B23="",NA(),IFERROR(INDEX('Macro Data Input'!$B$4:$I$41,$A23,E$6),NA()))</f>
        <v>36801.303844192786</v>
      </c>
      <c r="F23">
        <f ca="1">IF(B23="",NA(),IFERROR(INDEX('Macro Data Input'!$B$4:$I$41,$A23,F$6),NA()))</f>
        <v>41035.222601817033</v>
      </c>
      <c r="G23">
        <f ca="1">IF(B23="",NA(),IFERROR(INDEX('Macro Data Input'!$B$4:$I$41,$A23,G$6),NA()))</f>
        <v>43363.623321252555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 t="e">
        <f ca="1">IF(B24="",NA(),IFERROR(INDEX('Macro Data Input'!$B$4:$I$41,$A24,D$6),NA()))</f>
        <v>#N/A</v>
      </c>
      <c r="E24">
        <f ca="1">IF(B24="",NA(),IFERROR(INDEX('Macro Data Input'!$B$4:$I$41,$A24,E$6),NA()))</f>
        <v>33532.682394782787</v>
      </c>
      <c r="F24">
        <f ca="1">IF(B24="",NA(),IFERROR(INDEX('Macro Data Input'!$B$4:$I$41,$A24,F$6),NA()))</f>
        <v>37591.608793117033</v>
      </c>
      <c r="G24">
        <f ca="1">IF(B24="",NA(),IFERROR(INDEX('Macro Data Input'!$B$4:$I$41,$A24,G$6),NA()))</f>
        <v>39664.567574061592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 t="e">
        <f ca="1">IF(B25="",NA(),IFERROR(INDEX('Macro Data Input'!$B$4:$I$41,$A25,D$6),NA()))</f>
        <v>#N/A</v>
      </c>
      <c r="E25">
        <f ca="1">IF(B25="",NA(),IFERROR(INDEX('Macro Data Input'!$B$4:$I$41,$A25,E$6),NA()))</f>
        <v>3268.6214494099995</v>
      </c>
      <c r="F25">
        <f ca="1">IF(B25="",NA(),IFERROR(INDEX('Macro Data Input'!$B$4:$I$41,$A25,F$6),NA()))</f>
        <v>3443.6138086999999</v>
      </c>
      <c r="G25">
        <f ca="1">IF(B25="",NA(),IFERROR(INDEX('Macro Data Input'!$B$4:$I$41,$A25,G$6),NA()))</f>
        <v>3699.0557471909606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 t="e">
        <f ca="1">IF(B26="",NA(),IFERROR(INDEX('Macro Data Input'!$B$4:$I$41,$A26,D$6),NA()))</f>
        <v>#N/A</v>
      </c>
      <c r="E26">
        <f ca="1">IF(B26="",NA(),IFERROR(INDEX('Macro Data Input'!$B$4:$I$41,$A26,E$6),NA()))</f>
        <v>12542.643127881802</v>
      </c>
      <c r="F26">
        <f ca="1">IF(B26="",NA(),IFERROR(INDEX('Macro Data Input'!$B$4:$I$41,$A26,F$6),NA()))</f>
        <v>13404.449604890084</v>
      </c>
      <c r="G26">
        <f ca="1">IF(B26="",NA(),IFERROR(INDEX('Macro Data Input'!$B$4:$I$41,$A26,G$6),NA()))</f>
        <v>12360.325805772351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 t="e">
        <f ca="1">IF(B27="",NA(),IFERROR(INDEX('Macro Data Input'!$B$4:$I$41,$A27,D$6),NA()))</f>
        <v>#N/A</v>
      </c>
      <c r="E27">
        <f ca="1">IF(B27="",NA(),IFERROR(INDEX('Macro Data Input'!$B$4:$I$41,$A27,E$6),NA()))</f>
        <v>9684.2087350118018</v>
      </c>
      <c r="F27">
        <f ca="1">IF(B27="",NA(),IFERROR(INDEX('Macro Data Input'!$B$4:$I$41,$A27,F$6),NA()))</f>
        <v>9459.4309744500842</v>
      </c>
      <c r="G27">
        <f ca="1">IF(B27="",NA(),IFERROR(INDEX('Macro Data Input'!$B$4:$I$41,$A27,G$6),NA()))</f>
        <v>8839.3258057723506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 t="e">
        <f ca="1">IF(B28="",NA(),IFERROR(INDEX('Macro Data Input'!$B$4:$I$41,$A28,D$6),NA()))</f>
        <v>#N/A</v>
      </c>
      <c r="E28">
        <f ca="1">IF(B28="",NA(),IFERROR(INDEX('Macro Data Input'!$B$4:$I$41,$A28,E$6),NA()))</f>
        <v>2858.43439287</v>
      </c>
      <c r="F28">
        <f ca="1">IF(B28="",NA(),IFERROR(INDEX('Macro Data Input'!$B$4:$I$41,$A28,F$6),NA()))</f>
        <v>3945.0186304399995</v>
      </c>
      <c r="G28">
        <f ca="1">IF(B28="",NA(),IFERROR(INDEX('Macro Data Input'!$B$4:$I$41,$A28,G$6),NA()))</f>
        <v>3521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მთლიანი ეროვნული დანაზოგები</v>
      </c>
      <c r="C29" t="e">
        <f ca="1">IF(B29="",NA(),IFERROR(INDEX('Macro Data Input'!$B$4:$I$41,$A29,C$6),NA()))</f>
        <v>#N/A</v>
      </c>
      <c r="D29" t="e">
        <f ca="1">IF(B29="",NA(),IFERROR(INDEX('Macro Data Input'!$B$4:$I$41,$A29,D$6),NA()))</f>
        <v>#N/A</v>
      </c>
      <c r="E29">
        <f ca="1">IF(B29="",NA(),IFERROR(INDEX('Macro Data Input'!$B$4:$I$41,$A29,E$6),NA()))</f>
        <v>9544.7000793384104</v>
      </c>
      <c r="F29">
        <f ca="1">IF(B29="",NA(),IFERROR(INDEX('Macro Data Input'!$B$4:$I$41,$A29,F$6),NA()))</f>
        <v>10840.410830489905</v>
      </c>
      <c r="G29">
        <f ca="1">IF(B29="",NA(),IFERROR(INDEX('Macro Data Input'!$B$4:$I$41,$A29,G$6),NA()))</f>
        <v>9083.6028032617469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სახელმწიფო</v>
      </c>
      <c r="C30" t="e">
        <f ca="1">IF(B30="",NA(),IFERROR(INDEX('Macro Data Input'!$B$4:$I$41,$A30,C$6),NA()))</f>
        <v>#N/A</v>
      </c>
      <c r="D30" t="e">
        <f ca="1">IF(B30="",NA(),IFERROR(INDEX('Macro Data Input'!$B$4:$I$41,$A30,D$6),NA()))</f>
        <v>#N/A</v>
      </c>
      <c r="E30">
        <f ca="1">IF(B30="",NA(),IFERROR(INDEX('Macro Data Input'!$B$4:$I$41,$A30,E$6),NA()))</f>
        <v>2329.3560386500017</v>
      </c>
      <c r="F30">
        <f ca="1">IF(B30="",NA(),IFERROR(INDEX('Macro Data Input'!$B$4:$I$41,$A30,F$6),NA()))</f>
        <v>2387.8984020500011</v>
      </c>
      <c r="G30">
        <f ca="1">IF(B30="",NA(),IFERROR(INDEX('Macro Data Input'!$B$4:$I$41,$A30,G$6),NA()))</f>
        <v>-387.57458109206709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კერძო</v>
      </c>
      <c r="C31" t="e">
        <f ca="1">IF(B31="",NA(),IFERROR(INDEX('Macro Data Input'!$B$4:$I$41,$A31,C$6),NA()))</f>
        <v>#N/A</v>
      </c>
      <c r="D31" t="e">
        <f ca="1">IF(B31="",NA(),IFERROR(INDEX('Macro Data Input'!$B$4:$I$41,$A31,D$6),NA()))</f>
        <v>#N/A</v>
      </c>
      <c r="E31">
        <f ca="1">IF(B31="",NA(),IFERROR(INDEX('Macro Data Input'!$B$4:$I$41,$A31,E$6),NA()))</f>
        <v>7215.3440406884092</v>
      </c>
      <c r="F31">
        <f ca="1">IF(B31="",NA(),IFERROR(INDEX('Macro Data Input'!$B$4:$I$41,$A31,F$6),NA()))</f>
        <v>8452.5124284399044</v>
      </c>
      <c r="G31">
        <f ca="1">IF(B31="",NA(),IFERROR(INDEX('Macro Data Input'!$B$4:$I$41,$A31,G$6),NA()))</f>
        <v>9471.177384353814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შემოსავლები და გრანტები</v>
      </c>
      <c r="C32" t="e">
        <f ca="1">IF(B32="",NA(),IFERROR(INDEX('Macro Data Input'!$B$4:$I$41,$A32,C$6),NA()))</f>
        <v>#N/A</v>
      </c>
      <c r="D32" t="e">
        <f ca="1">IF(B32="",NA(),IFERROR(INDEX('Macro Data Input'!$B$4:$I$41,$A32,D$6),NA()))</f>
        <v>#N/A</v>
      </c>
      <c r="E32">
        <f ca="1">IF(B32="",NA(),IFERROR(INDEX('Macro Data Input'!$B$4:$I$41,$A32,E$6),NA()))</f>
        <v>11822.151901180001</v>
      </c>
      <c r="F32">
        <f ca="1">IF(B32="",NA(),IFERROR(INDEX('Macro Data Input'!$B$4:$I$41,$A32,F$6),NA()))</f>
        <v>12907.343685770002</v>
      </c>
      <c r="G32">
        <f ca="1">IF(B32="",NA(),IFERROR(INDEX('Macro Data Input'!$B$4:$I$41,$A32,G$6),NA()))</f>
        <v>12568.477318694073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საგადასახადო შემოსავლები</v>
      </c>
      <c r="C33" t="e">
        <f ca="1">IF(B33="",NA(),IFERROR(INDEX('Macro Data Input'!$B$4:$I$41,$A33,C$6),NA()))</f>
        <v>#N/A</v>
      </c>
      <c r="D33" t="e">
        <f ca="1">IF(B33="",NA(),IFERROR(INDEX('Macro Data Input'!$B$4:$I$41,$A33,D$6),NA()))</f>
        <v>#N/A</v>
      </c>
      <c r="E33">
        <f ca="1">IF(B33="",NA(),IFERROR(INDEX('Macro Data Input'!$B$4:$I$41,$A33,E$6),NA()))</f>
        <v>10506.31617455</v>
      </c>
      <c r="F33">
        <f ca="1">IF(B33="",NA(),IFERROR(INDEX('Macro Data Input'!$B$4:$I$41,$A33,F$6),NA()))</f>
        <v>11417.838802509999</v>
      </c>
      <c r="G33">
        <f ca="1">IF(B33="",NA(),IFERROR(INDEX('Macro Data Input'!$B$4:$I$41,$A33,G$6),NA()))</f>
        <v>10847.065412335654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პირდაპირი გადასახადები</v>
      </c>
      <c r="C34" t="e">
        <f ca="1">IF(B34="",NA(),IFERROR(INDEX('Macro Data Input'!$B$4:$I$41,$A34,C$6),NA()))</f>
        <v>#N/A</v>
      </c>
      <c r="D34" t="e">
        <f ca="1">IF(B34="",NA(),IFERROR(INDEX('Macro Data Input'!$B$4:$I$41,$A34,D$6),NA()))</f>
        <v>#N/A</v>
      </c>
      <c r="E34">
        <f ca="1">IF(B34="",NA(),IFERROR(INDEX('Macro Data Input'!$B$4:$I$41,$A34,E$6),NA()))</f>
        <v>4540.2628557099997</v>
      </c>
      <c r="F34">
        <f ca="1">IF(B34="",NA(),IFERROR(INDEX('Macro Data Input'!$B$4:$I$41,$A34,F$6),NA()))</f>
        <v>4593.0685114799999</v>
      </c>
      <c r="G34">
        <f ca="1">IF(B34="",NA(),IFERROR(INDEX('Macro Data Input'!$B$4:$I$43,$A34,G$6),NA()))</f>
        <v>4475.3490745957943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არაპირდაპირი გადასახადები</v>
      </c>
      <c r="C35" t="e">
        <f ca="1">IF(B35="",NA(),IFERROR(INDEX('Macro Data Input'!$B$4:$I$41,$A35,C$6),NA()))</f>
        <v>#N/A</v>
      </c>
      <c r="D35" t="e">
        <f ca="1">IF(B35="",NA(),IFERROR(INDEX('Macro Data Input'!$B$4:$I$41,$A35,D$6),NA()))</f>
        <v>#N/A</v>
      </c>
      <c r="E35">
        <f ca="1">IF(B35="",NA(),IFERROR(INDEX('Macro Data Input'!$B$4:$I$41,$A35,E$6),NA()))</f>
        <v>5966.0533188399995</v>
      </c>
      <c r="F35">
        <f ca="1">IF(B35="",NA(),IFERROR(INDEX('Macro Data Input'!$B$4:$I$41,$A35,F$6),NA()))</f>
        <v>6824.7702910299995</v>
      </c>
      <c r="G35">
        <f ca="1">IF(B35="",NA(),IFERROR(INDEX('Macro Data Input'!$B$4:$I$41,$A35,G$6),NA()))</f>
        <v>6371.7163377398592</v>
      </c>
    </row>
    <row r="36" spans="1:7" x14ac:dyDescent="0.3">
      <c r="A36">
        <f>ROWS($B$15:B36)</f>
        <v>22</v>
      </c>
      <c r="B36" t="str">
        <f>IF('Macro Data Input'!B25=0,"",'Macro Data Input'!B25)</f>
        <v>ხარჯები და არაფინანსური აქტივების ზრდა</v>
      </c>
      <c r="C36" t="e">
        <f ca="1">IF(B36="",NA(),IFERROR(INDEX('Macro Data Input'!$B$4:$I$41,$A36,C$6),NA()))</f>
        <v>#N/A</v>
      </c>
      <c r="D36" t="e">
        <f ca="1">IF(B36="",NA(),IFERROR(INDEX('Macro Data Input'!$B$4:$I$41,$A36,D$6),NA()))</f>
        <v>#N/A</v>
      </c>
      <c r="E36">
        <f ca="1">IF(B36="",NA(),IFERROR(INDEX('Macro Data Input'!$B$4:$I$41,$A36,E$6),NA()))</f>
        <v>12351.230255399998</v>
      </c>
      <c r="F36">
        <f ca="1">IF(B36="",NA(),IFERROR(INDEX('Macro Data Input'!$B$4:$I$41,$A36,F$6),NA()))</f>
        <v>14465.985283720001</v>
      </c>
      <c r="G36">
        <f ca="1">IF(B36="",NA(),IFERROR(INDEX('Macro Data Input'!$B$4:$I$41,$A36,G$6),NA()))</f>
        <v>16477.05189978614</v>
      </c>
    </row>
    <row r="37" spans="1:7" x14ac:dyDescent="0.3">
      <c r="A37">
        <f>ROWS($B$15:B37)</f>
        <v>23</v>
      </c>
      <c r="B37" t="str">
        <f>IF('Macro Data Input'!B26=0,"",'Macro Data Input'!B26)</f>
        <v>მიმდინარე ხარჯები</v>
      </c>
      <c r="C37" t="e">
        <f ca="1">IF(B37="",NA(),IFERROR(INDEX('Macro Data Input'!$B$4:$I$41,$A37,C$6),NA()))</f>
        <v>#N/A</v>
      </c>
      <c r="D37" t="e">
        <f ca="1">IF(B37="",NA(),IFERROR(INDEX('Macro Data Input'!$B$4:$I$41,$A37,D$6),NA()))</f>
        <v>#N/A</v>
      </c>
      <c r="E37">
        <f ca="1">IF(B37="",NA(),IFERROR(INDEX('Macro Data Input'!$B$4:$I$41,$A37,E$6),NA()))</f>
        <v>9492.795862529998</v>
      </c>
      <c r="F37">
        <f ca="1">IF(B37="",NA(),IFERROR(INDEX('Macro Data Input'!$B$4:$I$41,$A37,F$6),NA()))</f>
        <v>10519.445283720001</v>
      </c>
      <c r="G37">
        <f ca="1">IF(B37="",NA(),IFERROR(INDEX('Macro Data Input'!$B$4:$I$41,$A37,G$6),NA()))</f>
        <v>12956.05189978614</v>
      </c>
    </row>
    <row r="38" spans="1:7" x14ac:dyDescent="0.3">
      <c r="A38">
        <f>ROWS($B$15:B38)</f>
        <v>24</v>
      </c>
      <c r="B38" t="str">
        <f>IF('Macro Data Input'!B27=0,"",'Macro Data Input'!B27)</f>
        <v>კაპიტალური ხარჯები</v>
      </c>
      <c r="C38" t="e">
        <f ca="1">IF(B38="",NA(),IFERROR(INDEX('Macro Data Input'!$B$4:$I$41,$A38,C$6),NA()))</f>
        <v>#N/A</v>
      </c>
      <c r="D38" t="e">
        <f ca="1">IF(B38="",NA(),IFERROR(INDEX('Macro Data Input'!$B$4:$I$41,$A38,D$6),NA()))</f>
        <v>#N/A</v>
      </c>
      <c r="E38">
        <f ca="1">IF(B38="",NA(),IFERROR(INDEX('Macro Data Input'!$B$4:$I$41,$A38,E$6),NA()))</f>
        <v>2858.43439287</v>
      </c>
      <c r="F38">
        <f ca="1">IF(B38="",NA(),IFERROR(INDEX('Macro Data Input'!$B$4:$I$41,$A38,F$6),NA()))</f>
        <v>3946.54</v>
      </c>
      <c r="G38">
        <f ca="1">IF(B38="",NA(),IFERROR(INDEX('Macro Data Input'!$B$4:$I$43,$A38,G$6),NA()))</f>
        <v>3521</v>
      </c>
    </row>
    <row r="39" spans="1:7" x14ac:dyDescent="0.3">
      <c r="A39">
        <f>ROWS($B$15:B39)</f>
        <v>25</v>
      </c>
      <c r="B39" t="str">
        <f>IF('Macro Data Input'!B28=0,"",'Macro Data Input'!B28)</f>
        <v>საოპერაციო სალდო (% მშპ-თან)</v>
      </c>
      <c r="C39" t="e">
        <f ca="1">IF(B39="",NA(),IFERROR(INDEX('Macro Data Input'!$B$4:$I$41,$A39,C$6),NA()))</f>
        <v>#N/A</v>
      </c>
      <c r="D39" t="e">
        <f ca="1">IF(B39="",NA(),IFERROR(INDEX('Macro Data Input'!$B$4:$I$41,$A39,D$6),NA()))</f>
        <v>#N/A</v>
      </c>
      <c r="E39">
        <f ca="1">IF(B39="",NA(),IFERROR(INDEX('Macro Data Input'!$B$4:$I$41,$A39,E$6),NA()))</f>
        <v>5.2228483502837715E-2</v>
      </c>
      <c r="F39">
        <f ca="1">IF(B39="",NA(),IFERROR(INDEX('Macro Data Input'!$B$4:$I$41,$A39,F$6),NA()))</f>
        <v>4.7755902396760017E-2</v>
      </c>
      <c r="G39">
        <f ca="1">IF(B39="",NA(),IFERROR(INDEX('Macro Data Input'!$B$4:$I$41,$A39,G$6),NA()))</f>
        <v>-7.7490406124230094E-3</v>
      </c>
    </row>
    <row r="40" spans="1:7" x14ac:dyDescent="0.3">
      <c r="A40">
        <f>ROWS($B$15:B40)</f>
        <v>26</v>
      </c>
      <c r="B40" t="str">
        <f>IF('Macro Data Input'!B29=0,"",'Macro Data Input'!B29)</f>
        <v>მთლიანი სალდო (% მშპ-თან)</v>
      </c>
      <c r="C40" t="e">
        <f ca="1">IF(B40="",NA(),IFERROR(INDEX('Macro Data Input'!$B$4:$I$41,$A40,C$6),NA()))</f>
        <v>#N/A</v>
      </c>
      <c r="D40" t="e">
        <f ca="1">IF(B40="",NA(),IFERROR(INDEX('Macro Data Input'!$B$4:$I$41,$A40,D$6),NA()))</f>
        <v>#N/A</v>
      </c>
      <c r="E40">
        <f ca="1">IF(B40="",NA(),IFERROR(INDEX('Macro Data Input'!$B$4:$I$41,$A40,E$6),NA()))</f>
        <v>-7.2500908536078483E-3</v>
      </c>
      <c r="F40">
        <f ca="1">IF(B40="",NA(),IFERROR(INDEX('Macro Data Input'!$B$4:$I$41,$A40,F$6),NA()))</f>
        <v>-2.7051137776774172E-2</v>
      </c>
      <c r="G40">
        <f ca="1">IF(B40="",NA(),IFERROR(INDEX('Macro Data Input'!$B$4:$I$41,$A40,G$6),NA()))</f>
        <v>-7.5147722514817328E-2</v>
      </c>
    </row>
    <row r="41" spans="1:7" x14ac:dyDescent="0.3">
      <c r="A41">
        <f>ROWS($B$15:B41)</f>
        <v>27</v>
      </c>
      <c r="B41" t="str">
        <f>IF('Macro Data Input'!B30=0,"",'Macro Data Input'!B30)</f>
        <v>ფისკალური ბალანსი (% მშპ-თან)</v>
      </c>
      <c r="C41" t="e">
        <f ca="1">IF(B41="",NA(),IFERROR(INDEX('Macro Data Input'!$B$4:$I$41,$A41,C$6),NA()))</f>
        <v>#N/A</v>
      </c>
      <c r="D41" t="e">
        <f ca="1">IF(B41="",NA(),IFERROR(INDEX('Macro Data Input'!$B$4:$I$41,$A41,D$6),NA()))</f>
        <v>#N/A</v>
      </c>
      <c r="E41">
        <f ca="1">IF(B41="",NA(),IFERROR(INDEX('Macro Data Input'!$B$4:$I$41,$A41,E$6),NA()))</f>
        <v>-2.140573326871751E-2</v>
      </c>
      <c r="F41">
        <f ca="1">IF(B41="",NA(),IFERROR(INDEX('Macro Data Input'!$B$4:$I$41,$A41,F$6),NA()))</f>
        <v>-2.140573326871751E-2</v>
      </c>
      <c r="G41">
        <f ca="1">IF(B41="",NA(),IFERROR(INDEX('Macro Data Input'!$B$4:$I$41,$A41,G$6),NA()))</f>
        <v>-7.694715335765788E-2</v>
      </c>
    </row>
    <row r="42" spans="1:7" x14ac:dyDescent="0.3">
      <c r="A42">
        <f>ROWS($B$15:B42)</f>
        <v>28</v>
      </c>
      <c r="B42" t="str">
        <f>IF('Macro Data Input'!B31=0,"",'Macro Data Input'!B31)</f>
        <v>სახელმწიფო ვალი (% მშპ-თან)</v>
      </c>
      <c r="C42" t="e">
        <f ca="1">IF(B42="",NA(),IFERROR(INDEX('Macro Data Input'!$B$4:$I$41,$A42,C$6),NA()))</f>
        <v>#N/A</v>
      </c>
      <c r="D42" t="e">
        <f ca="1">IF(B42="",NA(),IFERROR(INDEX('Macro Data Input'!$B$4:$I$41,$A42,D$6),NA()))</f>
        <v>#N/A</v>
      </c>
      <c r="E42">
        <f ca="1">IF(B42="",NA(),IFERROR(INDEX('Macro Data Input'!$B$4:$I$41,$A42,E$6),NA()))</f>
        <v>0.38898957716874621</v>
      </c>
      <c r="F42">
        <f ca="1">IF(B42="",NA(),IFERROR(INDEX('Macro Data Input'!$B$4:$I$41,$A42,F$6),NA()))</f>
        <v>0.41151639038285076</v>
      </c>
      <c r="G42">
        <f ca="1">IF(B42="",NA(),IFERROR(INDEX('Macro Data Input'!$B$4:$I$41,$A42,G$6),NA()))</f>
        <v>0.5623958698085384</v>
      </c>
    </row>
    <row r="43" spans="1:7" x14ac:dyDescent="0.3">
      <c r="A43">
        <f>ROWS($B$15:B43)</f>
        <v>29</v>
      </c>
      <c r="B43" t="str">
        <f>IF('Macro Data Input'!B32=0,"",'Macro Data Input'!B32)</f>
        <v>საგარეო (% მშპ-თან)</v>
      </c>
      <c r="C43" t="e">
        <f ca="1">IF(B43="",NA(),IFERROR(INDEX('Macro Data Input'!$B$4:$I$41,$A43,C$6),NA()))</f>
        <v>#N/A</v>
      </c>
      <c r="D43" t="e">
        <f ca="1">IF(B43="",NA(),IFERROR(INDEX('Macro Data Input'!$B$4:$I$41,$A43,D$6),NA()))</f>
        <v>#N/A</v>
      </c>
      <c r="E43">
        <f ca="1">IF(B43="",NA(),IFERROR(INDEX('Macro Data Input'!$B$4:$I$41,$A43,E$6),NA()))</f>
        <v>0.31610733726678392</v>
      </c>
      <c r="F43">
        <f ca="1">IF(B43="",NA(),IFERROR(INDEX('Macro Data Input'!$B$4:$I$41,$A43,F$6),NA()))</f>
        <v>0.31498056596449947</v>
      </c>
      <c r="G43">
        <f ca="1">IF(B43="",NA(),IFERROR(INDEX('Macro Data Input'!$B$4:$I$41,$A43,G$6),NA()))</f>
        <v>0.44300961149520141</v>
      </c>
    </row>
    <row r="44" spans="1:7" x14ac:dyDescent="0.3">
      <c r="A44">
        <f>ROWS($B$15:B44)</f>
        <v>30</v>
      </c>
      <c r="B44" t="str">
        <f>IF('Macro Data Input'!B33=0,"",'Macro Data Input'!B33)</f>
        <v>საშინაო (% მშპ-თან)</v>
      </c>
      <c r="C44" t="e">
        <f ca="1">IF(B44="",NA(),IFERROR(INDEX('Macro Data Input'!$B$4:$I$41,$A44,C$6),NA()))</f>
        <v>#N/A</v>
      </c>
      <c r="D44" t="e">
        <f ca="1">IF(B44="",NA(),IFERROR(INDEX('Macro Data Input'!$B$4:$I$41,$A44,D$6),NA()))</f>
        <v>#N/A</v>
      </c>
      <c r="E44">
        <f ca="1">IF(B44="",NA(),IFERROR(INDEX('Macro Data Input'!$B$4:$I$41,$A44,E$6),NA()))</f>
        <v>7.2882239901962326E-2</v>
      </c>
      <c r="F44">
        <f ca="1">IF(B44="",NA(),IFERROR(INDEX('Macro Data Input'!$B$4:$I$41,$A44,F$6),NA()))</f>
        <v>9.6535824418351346E-2</v>
      </c>
      <c r="G44">
        <f ca="1">IF(B44="",NA(),IFERROR(INDEX('Macro Data Input'!$B$4:$I$41,$A44,G$6),NA()))</f>
        <v>0.11938625831333698</v>
      </c>
    </row>
    <row r="45" spans="1:7" x14ac:dyDescent="0.3">
      <c r="A45">
        <f>ROWS($B$15:B45)</f>
        <v>31</v>
      </c>
      <c r="B45" t="str">
        <f>IF('Macro Data Input'!B34=0,"",'Macro Data Input'!B34)</f>
        <v>წმინდა უცხოური აქტივები</v>
      </c>
      <c r="C45" t="e">
        <f ca="1">IF(B45="",NA(),IFERROR(INDEX('Macro Data Input'!$B$4:$I$41,$A45,C$6),NA()))</f>
        <v>#N/A</v>
      </c>
      <c r="D45" t="e">
        <f ca="1">IF(B45="",NA(),IFERROR(INDEX('Macro Data Input'!$B$4:$I$41,$A45,D$6),NA()))</f>
        <v>#N/A</v>
      </c>
      <c r="E45">
        <f ca="1">IF(B45="",NA(),IFERROR(INDEX('Macro Data Input'!$B$4:$I$41,$A45,E$6),NA()))</f>
        <v>-175.11710887400022</v>
      </c>
      <c r="F45">
        <f ca="1">IF(B45="",NA(),IFERROR(INDEX('Macro Data Input'!$B$4:$I$41,$A45,F$6),NA()))</f>
        <v>-355.41899999999987</v>
      </c>
      <c r="G45">
        <f ca="1">IF(B45="",NA(),IFERROR(INDEX('Macro Data Input'!$B$4:$I$41,$A45,G$6),NA()))</f>
        <v>-478.14309999999989</v>
      </c>
    </row>
    <row r="46" spans="1:7" x14ac:dyDescent="0.3">
      <c r="A46">
        <f>ROWS($B$15:B46)</f>
        <v>32</v>
      </c>
      <c r="B46" t="str">
        <f>IF('Macro Data Input'!B35=0,"",'Macro Data Input'!B35)</f>
        <v>წმინდა საშინაო აქტივები</v>
      </c>
      <c r="C46" t="e">
        <f ca="1">IF(B46="",NA(),IFERROR(INDEX('Macro Data Input'!$B$4:$I$41,$A46,C$6),NA()))</f>
        <v>#N/A</v>
      </c>
      <c r="D46" t="e">
        <f ca="1">IF(B46="",NA(),IFERROR(INDEX('Macro Data Input'!$B$4:$I$41,$A46,D$6),NA()))</f>
        <v>#N/A</v>
      </c>
      <c r="E46">
        <f ca="1">IF(B46="",NA(),IFERROR(INDEX('Macro Data Input'!$B$4:$I$41,$A46,E$6),NA()))</f>
        <v>20913.736000000001</v>
      </c>
      <c r="F46">
        <f ca="1">IF(B46="",NA(),IFERROR(INDEX('Macro Data Input'!$B$4:$I$41,$A46,F$6),NA()))</f>
        <v>24735.544716000004</v>
      </c>
      <c r="G46">
        <f ca="1">IF(B46="",NA(),IFERROR(INDEX('Macro Data Input'!$B$4:$I$41,$A46,G$6),NA()))</f>
        <v>26193.701219766172</v>
      </c>
    </row>
    <row r="47" spans="1:7" x14ac:dyDescent="0.3">
      <c r="A47">
        <f>ROWS($B$15:B47)</f>
        <v>33</v>
      </c>
      <c r="B47" t="str">
        <f>IF('Macro Data Input'!B36=0,"",'Macro Data Input'!B36)</f>
        <v>ფართო ფული M3</v>
      </c>
      <c r="C47" t="e">
        <f ca="1">IF(B47="",NA(),IFERROR(INDEX('Macro Data Input'!$B$4:$I$41,$A47,C$6),NA()))</f>
        <v>#N/A</v>
      </c>
      <c r="D47" t="e">
        <f ca="1">IF(B47="",NA(),IFERROR(INDEX('Macro Data Input'!$B$4:$I$41,$A47,D$6),NA()))</f>
        <v>#N/A</v>
      </c>
      <c r="E47">
        <f ca="1">IF(B47="",NA(),IFERROR(INDEX('Macro Data Input'!$B$4:$I$41,$A47,E$6),NA()))</f>
        <v>20738.619903999999</v>
      </c>
      <c r="F47">
        <f ca="1">IF(B47="",NA(),IFERROR(INDEX('Macro Data Input'!$B$4:$I$41,$A47,F$6),NA()))</f>
        <v>24380.125716000002</v>
      </c>
      <c r="G47">
        <f ca="1">IF(B47="",NA(),IFERROR(INDEX('Macro Data Input'!$B$4:$I$41,$A47,G$6),NA()))</f>
        <v>25715.55811976617</v>
      </c>
    </row>
    <row r="48" spans="1:7" x14ac:dyDescent="0.3">
      <c r="A48">
        <f>ROWS($B$15:B48)</f>
        <v>34</v>
      </c>
      <c r="B48" t="str">
        <f>IF('Macro Data Input'!B37=0,"",'Macro Data Input'!B37)</f>
        <v xml:space="preserve">ფართო ფული M2 </v>
      </c>
      <c r="C48" t="e">
        <f ca="1">IF(B48="",NA(),IFERROR(INDEX('Macro Data Input'!$B$4:$I$41,$A48,C$6),NA()))</f>
        <v>#N/A</v>
      </c>
      <c r="D48" t="e">
        <f ca="1">IF(B48="",NA(),IFERROR(INDEX('Macro Data Input'!$B$4:$I$41,$A48,D$6),NA()))</f>
        <v>#N/A</v>
      </c>
      <c r="E48">
        <f ca="1">IF(B48="",NA(),IFERROR(INDEX('Macro Data Input'!$B$4:$I$41,$A48,E$6),NA()))</f>
        <v>9675.9689969999999</v>
      </c>
      <c r="F48">
        <f ca="1">IF(B48="",NA(),IFERROR(INDEX('Macro Data Input'!$B$4:$I$41,$A48,F$6),NA()))</f>
        <v>11495.454605000001</v>
      </c>
      <c r="G48">
        <f ca="1">IF(B48="",NA(),IFERROR(INDEX('Macro Data Input'!$B$4:$I$41,$A48,G$6),NA()))</f>
        <v>12244.675854674102</v>
      </c>
    </row>
    <row r="49" spans="1:7" x14ac:dyDescent="0.3">
      <c r="A49">
        <f>ROWS($B$15:B49)</f>
        <v>35</v>
      </c>
      <c r="B49" t="str">
        <f>IF('Macro Data Input'!B38=0,"",'Macro Data Input'!B38)</f>
        <v>კერძო სექტორის დაკრედიტება</v>
      </c>
      <c r="C49" t="e">
        <f ca="1">IF(B49="",NA(),IFERROR(INDEX('Macro Data Input'!$B$4:$I$41,$A49,C$6),NA()))</f>
        <v>#N/A</v>
      </c>
      <c r="D49" t="e">
        <f ca="1">IF(B49="",NA(),IFERROR(INDEX('Macro Data Input'!$B$4:$I$41,$A49,D$6),NA()))</f>
        <v>#N/A</v>
      </c>
      <c r="E49">
        <f ca="1">IF(B49="",NA(),IFERROR(INDEX('Macro Data Input'!$B$4:$I$41,$A49,E$6),NA()))</f>
        <v>26485.753000000001</v>
      </c>
      <c r="F49">
        <f ca="1">IF(B49="",NA(),IFERROR(INDEX('Macro Data Input'!$B$4:$I$41,$A49,F$6),NA()))</f>
        <v>31707.712</v>
      </c>
      <c r="G49">
        <f ca="1">IF(B49="",NA(),IFERROR(INDEX('Macro Data Input'!$B$4:$I$41,$A49,G$6),NA()))</f>
        <v>36341.379945809254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 t="e">
        <f ca="1">IF(B50="",NA(),IFERROR(INDEX('Macro Data Input'!$B$4:$I$41,$A50,D$6),NA()))</f>
        <v>#N/A</v>
      </c>
      <c r="E50">
        <f ca="1">IF(B50="",NA(),IFERROR(INDEX('Macro Data Input'!$B$4:$I$41,$A50,E$6),NA()))</f>
        <v>-6.7685855857637228E-2</v>
      </c>
      <c r="F50">
        <f ca="1">IF(B50="",NA(),IFERROR(INDEX('Macro Data Input'!$B$4:$I$41,$A50,F$6),NA()))</f>
        <v>-5.0189422006885538E-2</v>
      </c>
      <c r="G50">
        <f ca="1">IF(B50="",NA(),IFERROR(INDEX('Macro Data Input'!$B$4:$I$41,$A50,G$6),NA()))</f>
        <v>-6.5358140532885231E-2</v>
      </c>
    </row>
    <row r="51" spans="1:7" x14ac:dyDescent="0.3">
      <c r="A51">
        <f>ROWS($B$15:B51)</f>
        <v>37</v>
      </c>
      <c r="B51" t="str">
        <f>IF('Macro Data Input'!B40=0,"",'Macro Data Input'!B40)</f>
        <v>სავაჭრო ბალანსი (% მშპ-თან)</v>
      </c>
      <c r="C51" t="e">
        <f ca="1">IF(B51="",NA(),IFERROR(INDEX('Macro Data Input'!$B$4:$I$41,$A51,C$6),NA()))</f>
        <v>#N/A</v>
      </c>
      <c r="D51" t="e">
        <f ca="1">IF(B51="",NA(),IFERROR(INDEX('Macro Data Input'!$B$4:$I$41,$A51,D$6),NA()))</f>
        <v>#N/A</v>
      </c>
      <c r="E51">
        <f ca="1">IF(B51="",NA(),IFERROR(INDEX('Macro Data Input'!$B$4:$I$41,$A51,E$6),NA()))</f>
        <v>-0.1063809598306338</v>
      </c>
      <c r="F51">
        <f ca="1">IF(B51="",NA(),IFERROR(INDEX('Macro Data Input'!$B$4:$I$41,$A51,F$6),NA()))</f>
        <v>-8.8069982137855107E-2</v>
      </c>
      <c r="G51">
        <f ca="1">IF(B51="",NA(),IFERROR(INDEX('Macro Data Input'!$B$4:$I$41,$A51,G$6),NA()))</f>
        <v>-0.11403465817824049</v>
      </c>
    </row>
    <row r="52" spans="1:7" x14ac:dyDescent="0.3">
      <c r="A52">
        <f>ROWS($B$15:B52)</f>
        <v>38</v>
      </c>
      <c r="B52" t="str">
        <f>IF('Macro Data Input'!B41=0,"",'Macro Data Input'!B41)</f>
        <v>წმინდა კერძო კაპიტალური და ფინანსური ნაკადები (მლნ აშშ დოლარი)</v>
      </c>
      <c r="C52" t="e">
        <f ca="1">IF(B52="",NA(),IFERROR(INDEX('Macro Data Input'!$B$4:$I$43,$A52,C$6),NA()))</f>
        <v>#N/A</v>
      </c>
      <c r="D52" t="e">
        <f ca="1">IF(B52="",NA(),IFERROR(INDEX('Macro Data Input'!$B$4:$I$41,$A52,D$6),NA()))</f>
        <v>#N/A</v>
      </c>
      <c r="E52">
        <f ca="1">IF(B52="",NA(),IFERROR(INDEX('Macro Data Input'!$B$4:$I$41,$A52,E$6),NA()))</f>
        <v>394.84646128181595</v>
      </c>
      <c r="F52">
        <f ca="1">IF(B52="",NA(),IFERROR(INDEX('Macro Data Input'!$B$4:$I$41,$A52,F$6),NA()))</f>
        <v>383.76593855316298</v>
      </c>
      <c r="G52">
        <f ca="1">IF(B52="",NA(),IFERROR(INDEX('Macro Data Input'!$B$4:$I$41,$A52,G$6),NA()))</f>
        <v>310.31401152415248</v>
      </c>
    </row>
    <row r="53" spans="1:7" x14ac:dyDescent="0.3">
      <c r="A53">
        <f>ROWS($B$15:B53)</f>
        <v>39</v>
      </c>
      <c r="B53" t="str">
        <f>IF('Macro Data Input'!B42=0,"",'Macro Data Input'!B42)</f>
        <v>ოფიციალური საერთაშორისო რეზერვები (მლნ აშშ დოლარი)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3289.8239549011978</v>
      </c>
      <c r="F53">
        <f ca="1">IF(A53="",NA(),IFERROR(INDEX('Macro Data Input'!$B$4:$I$43,$A53,F$6),NA()))</f>
        <v>3505.7905423336424</v>
      </c>
      <c r="G53">
        <f ca="1">IF(B53="",NA(),IFERROR(INDEX('Macro Data Input'!$B$4:$I$43,$A53,G$6),NA()))</f>
        <v>3775.1805529299436</v>
      </c>
    </row>
    <row r="54" spans="1:7" x14ac:dyDescent="0.3">
      <c r="A54">
        <f>ROWS($B$15:B54)</f>
        <v>40</v>
      </c>
      <c r="B54" t="str">
        <f>IF('Macro Data Input'!B43=0,"",'Macro Data Input'!B43)</f>
        <v>იმპორტის ჯერადი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3.6550152182634403</v>
      </c>
      <c r="F54">
        <f ca="1">IF(A54="",NA(),IFERROR(INDEX('Macro Data Input'!$B$4:$I$43,$A54,F$6),NA()))</f>
        <v>3.7786852314809867</v>
      </c>
      <c r="G54">
        <f ca="1">IF(B54="",NA(),IFERROR(INDEX('Macro Data Input'!$B$4:$I$43,$A54,G$6),NA()))</f>
        <v>5.25</v>
      </c>
    </row>
  </sheetData>
  <sheetProtection algorithmName="SHA-512" hashValue="ytczyuo0k6d+Qka4kHAJq44pCyROjL89wj1fqRrwUw6iUL7jbienIaLCQxLZvlLko0enYTT018fwJfGzw7WZSg==" saltValue="g6E4/LtpoDCpDwOj0M/9Fg==" spinCount="100000" sheet="1" formatCells="0" formatColumns="0" formatRows="0" insertColumns="0" insertRows="0" deleteColumns="0" delete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მაკროეკონომიკური პროგნოზები</vt:lpstr>
      <vt:lpstr>Macro Data Input</vt:lpstr>
      <vt:lpstr>Calculations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Windows User</cp:lastModifiedBy>
  <cp:revision/>
  <dcterms:created xsi:type="dcterms:W3CDTF">2013-12-05T14:43:36Z</dcterms:created>
  <dcterms:modified xsi:type="dcterms:W3CDTF">2020-10-15T08:31:03Z</dcterms:modified>
  <cp:category/>
  <cp:contentStatus/>
</cp:coreProperties>
</file>