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0.08.2015\MODELS\MODEL MACRO PBO\forecasts\6.Forecasts 2018_june\WEB_page\Georgian\"/>
    </mc:Choice>
  </mc:AlternateContent>
  <bookViews>
    <workbookView xWindow="0" yWindow="0" windowWidth="28800" windowHeight="12435"/>
  </bookViews>
  <sheets>
    <sheet name="მაკროეკონომიკური პროგნოზები" sheetId="3" r:id="rId1"/>
    <sheet name="Macro Data Input" sheetId="1" state="hidden" r:id="rId2"/>
    <sheet name="Calculations" sheetId="2" state="hidden" r:id="rId3"/>
  </sheets>
  <definedNames>
    <definedName name="lstMetrics">OFFSET('Macro Data Input'!$B$4:$B$23,0,0,COUNTA('Macro Data Input'!$B$4:$B$23))</definedName>
    <definedName name="lstYears">OFFSET('Macro Data Input'!$B$3:$I$3,0,1,1,COUNTA('Macro Data Input'!$B$3:$I$3)-1)</definedName>
    <definedName name="_xlnm.Print_Area" localSheetId="0">'მაკროეკონომიკური პროგნოზები'!$A$1:$M$35</definedName>
    <definedName name="SelectedYear">'მაკროეკონომიკური პროგნოზები'!$K$2</definedName>
    <definedName name="Years">Calculations!$I$6</definedName>
  </definedNames>
  <calcPr calcId="152511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C11" i="1"/>
  <c r="B18" i="3" l="1"/>
  <c r="B22" i="3"/>
  <c r="B26" i="3"/>
  <c r="B30" i="3"/>
  <c r="B34" i="3"/>
  <c r="B38" i="3"/>
  <c r="B42" i="3"/>
  <c r="B46" i="3"/>
  <c r="B50" i="3"/>
  <c r="B54" i="3"/>
  <c r="A16" i="2"/>
  <c r="B16" i="2"/>
  <c r="B17" i="3" s="1"/>
  <c r="A17" i="2"/>
  <c r="B17" i="2"/>
  <c r="A18" i="2"/>
  <c r="B18" i="2"/>
  <c r="B19" i="3" s="1"/>
  <c r="A19" i="2"/>
  <c r="B19" i="2"/>
  <c r="B20" i="3" s="1"/>
  <c r="A20" i="2"/>
  <c r="B20" i="2"/>
  <c r="B21" i="3" s="1"/>
  <c r="A21" i="2"/>
  <c r="B21" i="2"/>
  <c r="A22" i="2"/>
  <c r="B22" i="2"/>
  <c r="B23" i="3" s="1"/>
  <c r="A23" i="2"/>
  <c r="B23" i="2"/>
  <c r="B24" i="3" s="1"/>
  <c r="A24" i="2"/>
  <c r="B24" i="2"/>
  <c r="B25" i="3" s="1"/>
  <c r="A25" i="2"/>
  <c r="B25" i="2"/>
  <c r="A26" i="2"/>
  <c r="B26" i="2"/>
  <c r="B27" i="3" s="1"/>
  <c r="A27" i="2"/>
  <c r="B27" i="2"/>
  <c r="B28" i="3" s="1"/>
  <c r="A28" i="2"/>
  <c r="B28" i="2"/>
  <c r="B29" i="3" s="1"/>
  <c r="A29" i="2"/>
  <c r="B29" i="2"/>
  <c r="A30" i="2"/>
  <c r="B30" i="2"/>
  <c r="B31" i="3" s="1"/>
  <c r="A31" i="2"/>
  <c r="B31" i="2"/>
  <c r="B32" i="3" s="1"/>
  <c r="A32" i="2"/>
  <c r="B32" i="2"/>
  <c r="B33" i="3" s="1"/>
  <c r="A33" i="2"/>
  <c r="B33" i="2"/>
  <c r="A34" i="2"/>
  <c r="B34" i="2"/>
  <c r="B35" i="3" s="1"/>
  <c r="A35" i="2"/>
  <c r="B35" i="2"/>
  <c r="B36" i="3" s="1"/>
  <c r="A36" i="2"/>
  <c r="B36" i="2"/>
  <c r="B37" i="3" s="1"/>
  <c r="A37" i="2"/>
  <c r="B37" i="2"/>
  <c r="A38" i="2"/>
  <c r="B38" i="2"/>
  <c r="B39" i="3" s="1"/>
  <c r="A39" i="2"/>
  <c r="B39" i="2"/>
  <c r="B40" i="3" s="1"/>
  <c r="A40" i="2"/>
  <c r="B40" i="2"/>
  <c r="B41" i="3" s="1"/>
  <c r="A41" i="2"/>
  <c r="B41" i="2"/>
  <c r="B10" i="2" s="1"/>
  <c r="F7" i="3" s="1"/>
  <c r="A42" i="2"/>
  <c r="B42" i="2"/>
  <c r="B43" i="3" s="1"/>
  <c r="A43" i="2"/>
  <c r="B43" i="2"/>
  <c r="B44" i="3" s="1"/>
  <c r="A44" i="2"/>
  <c r="B44" i="2"/>
  <c r="B45" i="3" s="1"/>
  <c r="A45" i="2"/>
  <c r="B45" i="2"/>
  <c r="A46" i="2"/>
  <c r="B46" i="2"/>
  <c r="B47" i="3" s="1"/>
  <c r="A47" i="2"/>
  <c r="B47" i="2"/>
  <c r="B48" i="3" s="1"/>
  <c r="A48" i="2"/>
  <c r="B48" i="2"/>
  <c r="B49" i="3" s="1"/>
  <c r="A49" i="2"/>
  <c r="B49" i="2"/>
  <c r="A50" i="2"/>
  <c r="B50" i="2"/>
  <c r="B11" i="2" s="1"/>
  <c r="A51" i="2"/>
  <c r="B51" i="2"/>
  <c r="B52" i="3" s="1"/>
  <c r="A52" i="2"/>
  <c r="B52" i="2"/>
  <c r="B53" i="3" s="1"/>
  <c r="A53" i="2"/>
  <c r="B53" i="2"/>
  <c r="A54" i="2"/>
  <c r="B54" i="2"/>
  <c r="B55" i="3" s="1"/>
  <c r="B51" i="3" l="1"/>
  <c r="D15" i="3"/>
  <c r="F15" i="3"/>
  <c r="C3" i="2"/>
  <c r="A10" i="2" l="1"/>
  <c r="A11" i="2"/>
  <c r="B15" i="2"/>
  <c r="B8" i="2" s="1"/>
  <c r="B9" i="2"/>
  <c r="A9" i="2" s="1"/>
  <c r="B12" i="2"/>
  <c r="A12" i="2" s="1"/>
  <c r="A15" i="2"/>
  <c r="C4" i="2"/>
  <c r="D4" i="2" s="1"/>
  <c r="H7" i="3" l="1"/>
  <c r="J7" i="3"/>
  <c r="B16" i="3"/>
  <c r="D3" i="2"/>
  <c r="B7" i="3"/>
  <c r="A8" i="2"/>
  <c r="D7" i="3"/>
  <c r="G7" i="2"/>
  <c r="G6" i="2" s="1"/>
  <c r="G53" i="2" l="1"/>
  <c r="D54" i="3" s="1"/>
  <c r="G54" i="2"/>
  <c r="D55" i="3" s="1"/>
  <c r="G38" i="2"/>
  <c r="D39" i="3" s="1"/>
  <c r="G52" i="2"/>
  <c r="D53" i="3" s="1"/>
  <c r="G34" i="2"/>
  <c r="D35" i="3" s="1"/>
  <c r="G50" i="2"/>
  <c r="D51" i="3" s="1"/>
  <c r="G35" i="2"/>
  <c r="D36" i="3" s="1"/>
  <c r="G39" i="2"/>
  <c r="D40" i="3" s="1"/>
  <c r="G43" i="2"/>
  <c r="D44" i="3" s="1"/>
  <c r="G47" i="2"/>
  <c r="D48" i="3" s="1"/>
  <c r="G51" i="2"/>
  <c r="D52" i="3" s="1"/>
  <c r="G36" i="2"/>
  <c r="D37" i="3" s="1"/>
  <c r="G40" i="2"/>
  <c r="D41" i="3" s="1"/>
  <c r="G44" i="2"/>
  <c r="D45" i="3" s="1"/>
  <c r="G48" i="2"/>
  <c r="D49" i="3" s="1"/>
  <c r="G37" i="2"/>
  <c r="D38" i="3" s="1"/>
  <c r="G41" i="2"/>
  <c r="D42" i="3" s="1"/>
  <c r="G45" i="2"/>
  <c r="D46" i="3" s="1"/>
  <c r="G49" i="2"/>
  <c r="D50" i="3" s="1"/>
  <c r="G42" i="2"/>
  <c r="D43" i="3" s="1"/>
  <c r="G46" i="2"/>
  <c r="D47" i="3" s="1"/>
  <c r="G15" i="2"/>
  <c r="G18" i="2"/>
  <c r="D19" i="3" s="1"/>
  <c r="G17" i="2"/>
  <c r="D18" i="3" s="1"/>
  <c r="G31" i="2"/>
  <c r="D32" i="3" s="1"/>
  <c r="G19" i="2"/>
  <c r="D20" i="3" s="1"/>
  <c r="G23" i="2"/>
  <c r="D24" i="3" s="1"/>
  <c r="G27" i="2"/>
  <c r="D28" i="3" s="1"/>
  <c r="G32" i="2"/>
  <c r="D33" i="3" s="1"/>
  <c r="G16" i="2"/>
  <c r="D17" i="3" s="1"/>
  <c r="G20" i="2"/>
  <c r="D21" i="3" s="1"/>
  <c r="G24" i="2"/>
  <c r="D25" i="3" s="1"/>
  <c r="G28" i="2"/>
  <c r="D29" i="3" s="1"/>
  <c r="G29" i="2"/>
  <c r="D30" i="3" s="1"/>
  <c r="G33" i="2"/>
  <c r="D34" i="3" s="1"/>
  <c r="G21" i="2"/>
  <c r="D22" i="3" s="1"/>
  <c r="G25" i="2"/>
  <c r="D26" i="3" s="1"/>
  <c r="G30" i="2"/>
  <c r="D31" i="3" s="1"/>
  <c r="G22" i="2"/>
  <c r="D23" i="3" s="1"/>
  <c r="G26" i="2"/>
  <c r="D27" i="3" s="1"/>
  <c r="G8" i="2"/>
  <c r="G9" i="2"/>
  <c r="G10" i="2"/>
  <c r="G11" i="2"/>
  <c r="G12" i="2"/>
  <c r="J8" i="3" s="1"/>
  <c r="F7" i="2"/>
  <c r="E7" i="2" s="1"/>
  <c r="H8" i="3" l="1"/>
  <c r="D8" i="3"/>
  <c r="F8" i="3"/>
  <c r="F6" i="2"/>
  <c r="B8" i="3"/>
  <c r="E6" i="2"/>
  <c r="D7" i="2"/>
  <c r="E53" i="2" l="1"/>
  <c r="E54" i="2"/>
  <c r="F53" i="2"/>
  <c r="F54" i="3" s="1"/>
  <c r="F54" i="2"/>
  <c r="F55" i="3" s="1"/>
  <c r="F52" i="2"/>
  <c r="E52" i="2"/>
  <c r="E36" i="2"/>
  <c r="E40" i="2"/>
  <c r="E44" i="2"/>
  <c r="E37" i="2"/>
  <c r="E41" i="2"/>
  <c r="E45" i="2"/>
  <c r="E49" i="2"/>
  <c r="E34" i="2"/>
  <c r="E38" i="2"/>
  <c r="E42" i="2"/>
  <c r="E46" i="2"/>
  <c r="E50" i="2"/>
  <c r="E35" i="2"/>
  <c r="E39" i="2"/>
  <c r="E43" i="2"/>
  <c r="E47" i="2"/>
  <c r="E51" i="2"/>
  <c r="E48" i="2"/>
  <c r="F35" i="2"/>
  <c r="F36" i="3" s="1"/>
  <c r="F39" i="2"/>
  <c r="F40" i="3" s="1"/>
  <c r="F43" i="2"/>
  <c r="F44" i="3" s="1"/>
  <c r="F47" i="2"/>
  <c r="F36" i="2"/>
  <c r="F40" i="2"/>
  <c r="F41" i="3" s="1"/>
  <c r="F44" i="2"/>
  <c r="F45" i="3" s="1"/>
  <c r="F48" i="2"/>
  <c r="F49" i="3" s="1"/>
  <c r="H49" i="3" s="1"/>
  <c r="F37" i="2"/>
  <c r="F41" i="2"/>
  <c r="F42" i="3" s="1"/>
  <c r="F45" i="2"/>
  <c r="F46" i="3" s="1"/>
  <c r="F49" i="2"/>
  <c r="F50" i="3" s="1"/>
  <c r="F34" i="2"/>
  <c r="F38" i="2"/>
  <c r="F42" i="2"/>
  <c r="F43" i="3" s="1"/>
  <c r="F46" i="2"/>
  <c r="F50" i="2"/>
  <c r="F51" i="3" s="1"/>
  <c r="F51" i="2"/>
  <c r="F52" i="3" s="1"/>
  <c r="F15" i="2"/>
  <c r="E15" i="2"/>
  <c r="F20" i="2"/>
  <c r="F22" i="2"/>
  <c r="F31" i="2"/>
  <c r="F17" i="2"/>
  <c r="F18" i="3" s="1"/>
  <c r="F21" i="2"/>
  <c r="F25" i="2"/>
  <c r="F30" i="2"/>
  <c r="F19" i="2"/>
  <c r="F23" i="2"/>
  <c r="F27" i="2"/>
  <c r="F32" i="2"/>
  <c r="F33" i="3" s="1"/>
  <c r="F16" i="2"/>
  <c r="F17" i="3" s="1"/>
  <c r="F24" i="2"/>
  <c r="F28" i="2"/>
  <c r="F29" i="2"/>
  <c r="F33" i="2"/>
  <c r="F18" i="2"/>
  <c r="F19" i="3" s="1"/>
  <c r="F26" i="2"/>
  <c r="E16" i="2"/>
  <c r="E20" i="2"/>
  <c r="E24" i="2"/>
  <c r="E28" i="2"/>
  <c r="E29" i="2"/>
  <c r="E33" i="2"/>
  <c r="E17" i="2"/>
  <c r="E21" i="2"/>
  <c r="E25" i="2"/>
  <c r="E30" i="2"/>
  <c r="E18" i="2"/>
  <c r="E22" i="2"/>
  <c r="E26" i="2"/>
  <c r="E31" i="2"/>
  <c r="E19" i="2"/>
  <c r="E23" i="2"/>
  <c r="E27" i="2"/>
  <c r="E32" i="2"/>
  <c r="E8" i="2"/>
  <c r="E9" i="2"/>
  <c r="E10" i="2"/>
  <c r="E11" i="2"/>
  <c r="E12" i="2"/>
  <c r="F8" i="2"/>
  <c r="H8" i="2" s="1"/>
  <c r="F9" i="2"/>
  <c r="F10" i="2"/>
  <c r="F11" i="2"/>
  <c r="F12" i="2"/>
  <c r="H12" i="2" s="1"/>
  <c r="C7" i="2"/>
  <c r="C6" i="2" s="1"/>
  <c r="D6" i="2"/>
  <c r="F24" i="3" l="1"/>
  <c r="H24" i="3" s="1"/>
  <c r="F21" i="3"/>
  <c r="H21" i="3" s="1"/>
  <c r="F35" i="3"/>
  <c r="H35" i="3" s="1"/>
  <c r="F37" i="3"/>
  <c r="H37" i="3" s="1"/>
  <c r="F34" i="3"/>
  <c r="H34" i="3" s="1"/>
  <c r="F47" i="3"/>
  <c r="H47" i="3" s="1"/>
  <c r="F30" i="3"/>
  <c r="H30" i="3" s="1"/>
  <c r="H33" i="3"/>
  <c r="F31" i="3"/>
  <c r="H31" i="3" s="1"/>
  <c r="F32" i="3"/>
  <c r="H32" i="3" s="1"/>
  <c r="F22" i="3"/>
  <c r="H22" i="3" s="1"/>
  <c r="F20" i="3"/>
  <c r="H20" i="3" s="1"/>
  <c r="F48" i="3"/>
  <c r="H48" i="3" s="1"/>
  <c r="F27" i="3"/>
  <c r="H27" i="3" s="1"/>
  <c r="F29" i="3"/>
  <c r="H29" i="3" s="1"/>
  <c r="F28" i="3"/>
  <c r="H28" i="3" s="1"/>
  <c r="F26" i="3"/>
  <c r="H26" i="3" s="1"/>
  <c r="F23" i="3"/>
  <c r="H23" i="3" s="1"/>
  <c r="F39" i="3"/>
  <c r="H39" i="3" s="1"/>
  <c r="F25" i="3"/>
  <c r="H25" i="3" s="1"/>
  <c r="F38" i="3"/>
  <c r="H38" i="3" s="1"/>
  <c r="F53" i="3"/>
  <c r="H53" i="3" s="1"/>
  <c r="H46" i="3"/>
  <c r="H36" i="3"/>
  <c r="D52" i="2"/>
  <c r="C52" i="2"/>
  <c r="C53" i="2"/>
  <c r="D53" i="2" s="1"/>
  <c r="C54" i="2"/>
  <c r="D54" i="2" s="1"/>
  <c r="H50" i="3"/>
  <c r="C34" i="2"/>
  <c r="C38" i="2"/>
  <c r="C42" i="2"/>
  <c r="C46" i="2"/>
  <c r="C35" i="2"/>
  <c r="C39" i="2"/>
  <c r="C43" i="2"/>
  <c r="C47" i="2"/>
  <c r="C51" i="2"/>
  <c r="C36" i="2"/>
  <c r="C40" i="2"/>
  <c r="C44" i="2"/>
  <c r="C48" i="2"/>
  <c r="C37" i="2"/>
  <c r="C41" i="2"/>
  <c r="C45" i="2"/>
  <c r="C49" i="2"/>
  <c r="C50" i="2"/>
  <c r="D37" i="2"/>
  <c r="D41" i="2"/>
  <c r="D49" i="2"/>
  <c r="D34" i="2"/>
  <c r="D38" i="2"/>
  <c r="D42" i="2"/>
  <c r="D46" i="2"/>
  <c r="D50" i="2"/>
  <c r="D35" i="2"/>
  <c r="D39" i="2"/>
  <c r="D43" i="2"/>
  <c r="D47" i="2"/>
  <c r="D51" i="2"/>
  <c r="D36" i="2"/>
  <c r="D40" i="2"/>
  <c r="D44" i="2"/>
  <c r="D48" i="2"/>
  <c r="D45" i="2"/>
  <c r="D15" i="2"/>
  <c r="D16" i="2"/>
  <c r="D22" i="2"/>
  <c r="D17" i="2"/>
  <c r="D21" i="2"/>
  <c r="D25" i="2"/>
  <c r="D30" i="2"/>
  <c r="D31" i="2"/>
  <c r="D19" i="2"/>
  <c r="D23" i="2"/>
  <c r="D27" i="2"/>
  <c r="D32" i="2"/>
  <c r="D20" i="2"/>
  <c r="D24" i="2"/>
  <c r="D28" i="2"/>
  <c r="D29" i="2"/>
  <c r="D33" i="2"/>
  <c r="D18" i="2"/>
  <c r="D26" i="2"/>
  <c r="C15" i="2"/>
  <c r="C16" i="2"/>
  <c r="C20" i="2"/>
  <c r="C24" i="2"/>
  <c r="C28" i="2"/>
  <c r="C29" i="2"/>
  <c r="C33" i="2"/>
  <c r="C22" i="2"/>
  <c r="C17" i="2"/>
  <c r="C21" i="2"/>
  <c r="C25" i="2"/>
  <c r="C30" i="2"/>
  <c r="C18" i="2"/>
  <c r="C31" i="2"/>
  <c r="C19" i="2"/>
  <c r="C23" i="2"/>
  <c r="C27" i="2"/>
  <c r="C32" i="2"/>
  <c r="C26" i="2"/>
  <c r="D8" i="2"/>
  <c r="D9" i="2"/>
  <c r="D10" i="2"/>
  <c r="D11" i="2"/>
  <c r="D12" i="2"/>
  <c r="C8" i="2"/>
  <c r="C11" i="2"/>
  <c r="C12" i="2"/>
  <c r="C9" i="2"/>
  <c r="C10" i="2"/>
  <c r="I6" i="2"/>
  <c r="I15" i="3" s="1"/>
  <c r="H11" i="2"/>
  <c r="H10" i="2"/>
  <c r="H9" i="2"/>
  <c r="H54" i="3" l="1"/>
  <c r="D16" i="3"/>
  <c r="F16" i="3" l="1"/>
  <c r="H19" i="3"/>
</calcChain>
</file>

<file path=xl/sharedStrings.xml><?xml version="1.0" encoding="utf-8"?>
<sst xmlns="http://schemas.openxmlformats.org/spreadsheetml/2006/main" count="54" uniqueCount="49">
  <si>
    <t>METRIC NAME</t>
  </si>
  <si>
    <t>Position</t>
  </si>
  <si>
    <t>This year</t>
  </si>
  <si>
    <t>Previous Year</t>
  </si>
  <si>
    <t>Key Metrics</t>
  </si>
  <si>
    <t>All Metrics (works up to 25 metrics)</t>
  </si>
  <si>
    <t>რეალური მთლიანი შიდა პროდუქტი</t>
  </si>
  <si>
    <t>სამომხმარებლო ფასების ინფლაცია</t>
  </si>
  <si>
    <t>მშპ-ს დეფლატორი</t>
  </si>
  <si>
    <t>აბსორბცია</t>
  </si>
  <si>
    <t>მოხმარება</t>
  </si>
  <si>
    <t>კერძო</t>
  </si>
  <si>
    <t>სახელმწიფო</t>
  </si>
  <si>
    <t>ინვესტიციები</t>
  </si>
  <si>
    <t>შემოსავლები და გრანტები</t>
  </si>
  <si>
    <t>საგადასახადო შემოსავლები</t>
  </si>
  <si>
    <t>პირდაპირი გადასახადები</t>
  </si>
  <si>
    <t>არაპირდაპირი გადასახადები</t>
  </si>
  <si>
    <t>ხარჯები და არაფინანსური აქტივების ზრდა</t>
  </si>
  <si>
    <t>მიმდინარე ხარჯები</t>
  </si>
  <si>
    <t>კაპიტალური ხარჯები</t>
  </si>
  <si>
    <t>წმინდა უცხოური აქტივები</t>
  </si>
  <si>
    <t>წმინდა საშინაო აქტივები</t>
  </si>
  <si>
    <t>ოფიციალური საერთაშორისო რეზერვები (მლნ აშშ დოლარი)</t>
  </si>
  <si>
    <t>იმპორტის ჯერადი</t>
  </si>
  <si>
    <t>აირჩიეთ წელი</t>
  </si>
  <si>
    <t>პარლამენტის საბიუჯეტო ოფისი</t>
  </si>
  <si>
    <t>ძირითადი ინდიკატორები</t>
  </si>
  <si>
    <t>ინდიკატორები</t>
  </si>
  <si>
    <t>მაკროეკონომიკური პროგნოზები</t>
  </si>
  <si>
    <t>მშპ ერთ სულ მოსახლეზე დოლარი</t>
  </si>
  <si>
    <t>მშპ ერთ სულ მოსახლეზე ლარი</t>
  </si>
  <si>
    <t>მიმდინარე ანგარიშის ბალანსი (% მშპ-თან)</t>
  </si>
  <si>
    <t>ნომინალური მშპ მლნ ლარი</t>
  </si>
  <si>
    <t>ნომინალური მშპ მლნ აშშ დოლარი</t>
  </si>
  <si>
    <t>საოპერაციო სალდო (% მშპ-თან)</t>
  </si>
  <si>
    <t>მთლიანი სალდო (% მშპ-თან)</t>
  </si>
  <si>
    <t>ფისკალური ბალანსი (% მშპ-თან)</t>
  </si>
  <si>
    <t>სახელმწიფო ვალი (% მშპ-თან)</t>
  </si>
  <si>
    <t>საგარეო (% მშპ-თან)</t>
  </si>
  <si>
    <t>საშინაო (% მშპ-თან)</t>
  </si>
  <si>
    <t>ზრდის ტემპი (%)</t>
  </si>
  <si>
    <t>მაკროეკონომიკური ანალიზისა და საგადასახადო პოლიტიკის განყოფილება</t>
  </si>
  <si>
    <t>კერძო სექტორის დაკრედიტება</t>
  </si>
  <si>
    <t>სავაჭრო ბალანსი (% მშპ-თან)</t>
  </si>
  <si>
    <t>წმინდა კერძო კაპიტალური და ფინანსური ნაკადები (მლნ აშშ დოლარი)</t>
  </si>
  <si>
    <t>ფართო ფული M3</t>
  </si>
  <si>
    <t xml:space="preserve">ფართო ფული M2 </t>
  </si>
  <si>
    <t>მთლიანი ეროვნული დანაზოგები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</si>
</sst>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"/>
    <numFmt numFmtId="165" formatCode="0.0%"/>
  </numFmts>
  <fonts count="25" x14ac:knownFonts="1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24"/>
      <color theme="6" tint="-0.249977111117893"/>
      <name val="Trebuchet MS"/>
      <family val="2"/>
      <scheme val="major"/>
    </font>
    <font>
      <i/>
      <sz val="10"/>
      <color theme="6" tint="-0.249977111117893"/>
      <name val="Arial"/>
      <family val="2"/>
      <scheme val="minor"/>
    </font>
    <font>
      <sz val="18"/>
      <color theme="1" tint="0.249977111117893"/>
      <name val="Arial"/>
      <family val="2"/>
      <scheme val="minor"/>
    </font>
    <font>
      <sz val="10"/>
      <color theme="1" tint="0.34998626667073579"/>
      <name val="Trebuchet MS"/>
      <family val="2"/>
      <charset val="204"/>
      <scheme val="major"/>
    </font>
    <font>
      <sz val="12"/>
      <color theme="1" tint="0.34998626667073579"/>
      <name val="Trebuchet MS"/>
      <family val="2"/>
      <scheme val="major"/>
    </font>
    <font>
      <sz val="10"/>
      <name val="Trebuchet MS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C80AA"/>
        <bgColor indexed="64"/>
      </patternFill>
    </fill>
    <fill>
      <patternFill patternType="solid">
        <fgColor rgb="FF4D72BD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 applyFill="0" applyBorder="0">
      <alignment vertical="center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14" fillId="2" borderId="0">
      <alignment horizontal="center" vertical="center"/>
    </xf>
    <xf numFmtId="5" fontId="9" fillId="0" borderId="7">
      <alignment horizontal="center" vertical="center"/>
    </xf>
    <xf numFmtId="9" fontId="11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/>
  </cellStyleXfs>
  <cellXfs count="102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6" fillId="0" borderId="2" xfId="3" applyAlignment="1">
      <alignment horizontal="center"/>
    </xf>
    <xf numFmtId="0" fontId="0" fillId="0" borderId="13" xfId="0" applyFill="1" applyBorder="1" applyAlignment="1">
      <alignment horizontal="left" vertical="center" indent="1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0" xfId="9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2" xfId="3" applyProtection="1">
      <alignment vertical="center"/>
      <protection locked="0"/>
    </xf>
    <xf numFmtId="0" fontId="6" fillId="0" borderId="17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5" fontId="9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0" fillId="0" borderId="0" xfId="1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" xfId="3" applyFill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0" fillId="0" borderId="13" xfId="0" applyFill="1" applyBorder="1" applyAlignment="1">
      <alignment vertical="center"/>
    </xf>
    <xf numFmtId="165" fontId="0" fillId="0" borderId="0" xfId="1" applyNumberFormat="1" applyFont="1" applyAlignment="1">
      <alignment vertical="center"/>
    </xf>
    <xf numFmtId="165" fontId="9" fillId="0" borderId="20" xfId="1" applyNumberFormat="1" applyFont="1" applyBorder="1" applyAlignment="1" applyProtection="1">
      <alignment horizontal="center" vertical="center"/>
    </xf>
    <xf numFmtId="0" fontId="19" fillId="0" borderId="0" xfId="12" applyFont="1"/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0" fontId="20" fillId="0" borderId="2" xfId="9" applyFont="1" applyBorder="1" applyAlignment="1" applyProtection="1">
      <alignment horizontal="left" vertical="center"/>
      <protection locked="0"/>
    </xf>
    <xf numFmtId="0" fontId="21" fillId="0" borderId="0" xfId="4" applyFont="1" applyAlignment="1" applyProtection="1">
      <alignment vertical="top"/>
      <protection locked="0"/>
    </xf>
    <xf numFmtId="165" fontId="0" fillId="0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4" fillId="6" borderId="1" xfId="11" applyFont="1" applyFill="1" applyBorder="1" applyAlignment="1" applyProtection="1">
      <alignment horizontal="left" vertical="center" indent="1"/>
      <protection locked="0"/>
    </xf>
    <xf numFmtId="0" fontId="4" fillId="6" borderId="1" xfId="1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3" borderId="23" xfId="0" applyFont="1" applyFill="1" applyBorder="1" applyAlignment="1">
      <alignment horizontal="left" vertical="center" wrapText="1" indent="1"/>
    </xf>
    <xf numFmtId="0" fontId="0" fillId="0" borderId="0" xfId="0" applyBorder="1" applyAlignment="1" applyProtection="1">
      <alignment horizontal="left" vertical="center" indent="2"/>
      <protection locked="0"/>
    </xf>
    <xf numFmtId="164" fontId="0" fillId="0" borderId="13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/>
    </xf>
    <xf numFmtId="165" fontId="11" fillId="0" borderId="18" xfId="7" applyNumberFormat="1" applyBorder="1" applyAlignment="1" applyProtection="1">
      <alignment horizontal="left" vertical="center" indent="2"/>
    </xf>
    <xf numFmtId="10" fontId="11" fillId="0" borderId="18" xfId="1" applyNumberFormat="1" applyFont="1" applyBorder="1" applyAlignment="1" applyProtection="1">
      <alignment horizontal="left" vertical="center" indent="2"/>
    </xf>
    <xf numFmtId="0" fontId="23" fillId="0" borderId="0" xfId="0" applyFo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wrapText="1" indent="1"/>
    </xf>
    <xf numFmtId="2" fontId="0" fillId="0" borderId="0" xfId="0" applyNumberFormat="1">
      <alignment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>
      <alignment vertical="center"/>
    </xf>
    <xf numFmtId="165" fontId="24" fillId="0" borderId="15" xfId="1" applyNumberFormat="1" applyFont="1" applyBorder="1" applyAlignment="1" applyProtection="1">
      <alignment horizontal="right" vertical="center"/>
      <protection locked="0"/>
    </xf>
    <xf numFmtId="165" fontId="24" fillId="0" borderId="15" xfId="1" applyNumberFormat="1" applyFont="1" applyBorder="1" applyAlignment="1" applyProtection="1">
      <alignment horizontal="right" vertical="center" indent="1"/>
      <protection locked="0"/>
    </xf>
    <xf numFmtId="165" fontId="24" fillId="0" borderId="0" xfId="1" applyNumberFormat="1" applyFont="1" applyBorder="1" applyAlignment="1" applyProtection="1">
      <alignment horizontal="right" vertical="center"/>
      <protection locked="0"/>
    </xf>
    <xf numFmtId="165" fontId="24" fillId="0" borderId="0" xfId="1" applyNumberFormat="1" applyFont="1" applyBorder="1" applyAlignment="1" applyProtection="1">
      <alignment horizontal="right" vertical="center" indent="1"/>
      <protection locked="0"/>
    </xf>
    <xf numFmtId="164" fontId="24" fillId="0" borderId="0" xfId="0" applyNumberFormat="1" applyFont="1" applyBorder="1" applyAlignment="1" applyProtection="1">
      <alignment horizontal="right" vertical="center"/>
      <protection locked="0"/>
    </xf>
    <xf numFmtId="164" fontId="24" fillId="0" borderId="0" xfId="0" applyNumberFormat="1" applyFont="1" applyBorder="1" applyAlignment="1" applyProtection="1">
      <alignment horizontal="right" vertical="center" indent="1"/>
      <protection locked="0"/>
    </xf>
    <xf numFmtId="164" fontId="24" fillId="0" borderId="0" xfId="1" applyNumberFormat="1" applyFont="1" applyBorder="1" applyAlignment="1" applyProtection="1">
      <alignment horizontal="right" vertical="center"/>
      <protection locked="0"/>
    </xf>
    <xf numFmtId="164" fontId="24" fillId="0" borderId="0" xfId="1" applyNumberFormat="1" applyFont="1" applyBorder="1" applyAlignment="1" applyProtection="1">
      <alignment horizontal="right" vertical="center" indent="1"/>
      <protection locked="0"/>
    </xf>
    <xf numFmtId="0" fontId="0" fillId="0" borderId="13" xfId="0" applyFill="1" applyBorder="1" applyAlignment="1">
      <alignment vertical="center"/>
    </xf>
    <xf numFmtId="0" fontId="8" fillId="0" borderId="2" xfId="3" applyNumberFormat="1" applyFont="1" applyFill="1" applyAlignment="1" applyProtection="1">
      <alignment horizontal="center" vertical="center"/>
      <protection locked="0"/>
    </xf>
    <xf numFmtId="165" fontId="11" fillId="0" borderId="10" xfId="7" applyNumberFormat="1" applyBorder="1" applyAlignment="1" applyProtection="1">
      <alignment horizontal="left" vertical="center" indent="2"/>
    </xf>
    <xf numFmtId="165" fontId="11" fillId="0" borderId="12" xfId="7" applyNumberFormat="1" applyBorder="1" applyAlignment="1" applyProtection="1">
      <alignment horizontal="left" vertical="center" indent="2"/>
    </xf>
    <xf numFmtId="165" fontId="11" fillId="0" borderId="11" xfId="7" applyNumberFormat="1" applyBorder="1" applyAlignment="1" applyProtection="1">
      <alignment horizontal="left" vertical="center" indent="2"/>
    </xf>
    <xf numFmtId="164" fontId="9" fillId="0" borderId="21" xfId="6" applyNumberFormat="1" applyBorder="1" applyAlignment="1" applyProtection="1">
      <alignment horizontal="center" vertical="center"/>
    </xf>
    <xf numFmtId="164" fontId="9" fillId="0" borderId="7" xfId="6" applyNumberFormat="1" applyBorder="1" applyAlignment="1" applyProtection="1">
      <alignment horizontal="center" vertical="center"/>
    </xf>
    <xf numFmtId="164" fontId="9" fillId="0" borderId="22" xfId="6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164" fontId="24" fillId="0" borderId="0" xfId="0" applyNumberFormat="1" applyFont="1">
      <alignment vertical="center"/>
    </xf>
    <xf numFmtId="2" fontId="24" fillId="0" borderId="0" xfId="1" applyNumberFormat="1" applyFont="1" applyBorder="1" applyAlignment="1" applyProtection="1">
      <alignment horizontal="right" vertical="center"/>
      <protection locked="0"/>
    </xf>
    <xf numFmtId="2" fontId="24" fillId="0" borderId="0" xfId="1" applyNumberFormat="1" applyFont="1" applyBorder="1" applyAlignment="1" applyProtection="1">
      <alignment horizontal="right" vertical="center" indent="1"/>
      <protection locked="0"/>
    </xf>
    <xf numFmtId="2" fontId="24" fillId="0" borderId="16" xfId="1" applyNumberFormat="1" applyFont="1" applyBorder="1" applyAlignment="1" applyProtection="1">
      <alignment horizontal="right" vertical="center"/>
      <protection locked="0"/>
    </xf>
    <xf numFmtId="2" fontId="24" fillId="0" borderId="16" xfId="1" applyNumberFormat="1" applyFont="1" applyBorder="1" applyAlignment="1" applyProtection="1">
      <alignment horizontal="right" vertical="center" indent="1"/>
      <protection locked="0"/>
    </xf>
    <xf numFmtId="2" fontId="24" fillId="0" borderId="0" xfId="1" applyNumberFormat="1" applyFont="1" applyAlignment="1">
      <alignment vertical="center"/>
    </xf>
    <xf numFmtId="165" fontId="24" fillId="0" borderId="0" xfId="1" applyNumberFormat="1" applyFont="1" applyAlignment="1">
      <alignment vertical="center"/>
    </xf>
    <xf numFmtId="164" fontId="24" fillId="7" borderId="0" xfId="1" applyNumberFormat="1" applyFont="1" applyFill="1" applyBorder="1" applyAlignment="1" applyProtection="1">
      <alignment horizontal="right" vertical="center"/>
      <protection locked="0"/>
    </xf>
  </cellXfs>
  <cellStyles count="13">
    <cellStyle name="Followed Hyperlink" xfId="10" builtinId="9" customBuiltin="1"/>
    <cellStyle name="Heading 1" xfId="3" builtinId="16" customBuiltin="1"/>
    <cellStyle name="Heading 2" xfId="4" builtinId="17" customBuiltin="1"/>
    <cellStyle name="Heading 3" xfId="8" builtinId="18" customBuiltin="1"/>
    <cellStyle name="Hyperlink" xfId="9" builtinId="8" customBuiltin="1"/>
    <cellStyle name="Key Metric Header" xfId="5"/>
    <cellStyle name="Key Metric Percentage" xfId="7"/>
    <cellStyle name="Key Metric Value" xfId="6"/>
    <cellStyle name="Normal" xfId="0" builtinId="0" customBuiltin="1"/>
    <cellStyle name="Normal 11" xfId="11"/>
    <cellStyle name="Percent" xfId="1" builtinId="5"/>
    <cellStyle name="Title" xfId="2" builtinId="15" customBuiltin="1"/>
    <cellStyle name="Title 3" xfId="12"/>
  </cellStyles>
  <dxfs count="23"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top style="thin">
          <color theme="0" tint="-0.14996795556505021"/>
        </top>
      </border>
    </dxf>
    <dxf>
      <alignment horizontal="left" vertical="center" textRotation="0" wrapText="0" indent="1" justifyLastLine="0" shrinkToFit="0" readingOrder="0"/>
      <protection locked="0" hidden="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4D72BD"/>
      <color rgb="FF2C8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133350</xdr:rowOff>
    </xdr:from>
    <xdr:to>
      <xdr:col>12</xdr:col>
      <xdr:colOff>523875</xdr:colOff>
      <xdr:row>1</xdr:row>
      <xdr:rowOff>390525</xdr:rowOff>
    </xdr:to>
    <xdr:sp macro="" textlink="">
      <xdr:nvSpPr>
        <xdr:cNvPr id="2" name="Right Arrow 1"/>
        <xdr:cNvSpPr/>
      </xdr:nvSpPr>
      <xdr:spPr>
        <a:xfrm rot="10800000">
          <a:off x="10058400" y="238125"/>
          <a:ext cx="428625" cy="257175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I43" headerRowCount="0" totalsRowShown="0" headerRowDxfId="16" tableBorderDxfId="15">
  <tableColumns count="8">
    <tableColumn id="1" name="Column1" headerRowDxfId="14"/>
    <tableColumn id="2" name="Column2" headerRowDxfId="13" dataDxfId="12"/>
    <tableColumn id="3" name="Column3" headerRowDxfId="11" dataDxfId="10"/>
    <tableColumn id="4" name="Column4" headerRowDxfId="9" dataDxfId="8"/>
    <tableColumn id="5" name="Column5" headerRowDxfId="7" dataDxfId="6"/>
    <tableColumn id="6" name="Column6" headerRowDxfId="5" dataDxfId="4"/>
    <tableColumn id="7" name="Column7" headerRowDxfId="3" dataDxfId="2"/>
    <tableColumn id="10" name="Column10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  <pageSetUpPr autoPageBreaks="0" fitToPage="1"/>
  </sheetPr>
  <dimension ref="B1:N55"/>
  <sheetViews>
    <sheetView showGridLines="0" tabSelected="1" zoomScaleNormal="100" workbookViewId="0">
      <selection activeCell="K2" sqref="K2:L2"/>
    </sheetView>
  </sheetViews>
  <sheetFormatPr defaultRowHeight="18.75" customHeight="1" x14ac:dyDescent="0.3"/>
  <cols>
    <col min="1" max="1" width="5.140625" customWidth="1"/>
    <col min="2" max="2" width="29.140625" customWidth="1"/>
    <col min="3" max="3" width="3.5703125" customWidth="1"/>
    <col min="4" max="4" width="29" customWidth="1"/>
    <col min="5" max="5" width="2.7109375" customWidth="1"/>
    <col min="6" max="6" width="28.28515625" customWidth="1"/>
    <col min="7" max="7" width="3.7109375" customWidth="1"/>
    <col min="8" max="8" width="26.42578125" customWidth="1"/>
    <col min="9" max="9" width="4.28515625" customWidth="1"/>
    <col min="10" max="10" width="12.28515625" customWidth="1"/>
    <col min="11" max="11" width="1.85546875" customWidth="1"/>
    <col min="12" max="12" width="12.28515625" customWidth="1"/>
    <col min="13" max="13" width="11.140625" customWidth="1"/>
    <col min="14" max="14" width="17.85546875" customWidth="1"/>
    <col min="15" max="15" width="10.140625" customWidth="1"/>
    <col min="16" max="18" width="11.42578125"/>
  </cols>
  <sheetData>
    <row r="1" spans="2:14" ht="8.25" customHeight="1" thickBot="1" x14ac:dyDescent="0.3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4" ht="38.25" customHeight="1" thickBot="1" x14ac:dyDescent="0.5">
      <c r="B2" s="40" t="s">
        <v>29</v>
      </c>
      <c r="C2" s="17"/>
      <c r="D2" s="17"/>
      <c r="E2" s="17"/>
      <c r="F2" s="17"/>
      <c r="G2" s="17"/>
      <c r="H2" s="17"/>
      <c r="I2" s="17"/>
      <c r="J2" s="18"/>
      <c r="K2" s="82">
        <v>2019</v>
      </c>
      <c r="L2" s="82"/>
      <c r="N2" s="56" t="s">
        <v>25</v>
      </c>
    </row>
    <row r="3" spans="2:14" ht="26.25" customHeight="1" x14ac:dyDescent="0.3">
      <c r="B3" s="47" t="s">
        <v>26</v>
      </c>
      <c r="C3" s="17"/>
      <c r="D3" s="17"/>
      <c r="E3" s="17"/>
      <c r="F3" s="17"/>
      <c r="G3" s="17"/>
      <c r="H3" s="17"/>
      <c r="I3" s="17"/>
      <c r="J3" s="17"/>
      <c r="K3" s="17"/>
      <c r="L3" s="17"/>
      <c r="N3" s="55"/>
    </row>
    <row r="4" spans="2:14" ht="24.75" customHeight="1" thickBot="1" x14ac:dyDescent="0.35">
      <c r="B4" s="65" t="s">
        <v>42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2:14" ht="24" customHeight="1" thickBot="1" x14ac:dyDescent="0.35">
      <c r="B5" s="19" t="s">
        <v>27</v>
      </c>
      <c r="C5" s="19"/>
      <c r="D5" s="46"/>
      <c r="E5" s="19"/>
      <c r="F5" s="19"/>
      <c r="G5" s="19"/>
      <c r="H5" s="19"/>
      <c r="I5" s="19"/>
      <c r="J5" s="19"/>
      <c r="K5" s="19"/>
      <c r="L5" s="19"/>
    </row>
    <row r="6" spans="2:14" s="9" customFormat="1" ht="18.75" customHeigh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ht="47.25" customHeight="1" x14ac:dyDescent="0.25">
      <c r="B7" s="54" t="str">
        <f>Calculations!B8</f>
        <v>რეალური მთლიანი შიდა პროდუქტი</v>
      </c>
      <c r="C7" s="21"/>
      <c r="D7" s="54" t="str">
        <f>Calculations!B9</f>
        <v>მშპ-ს დეფლატორი</v>
      </c>
      <c r="E7" s="21"/>
      <c r="F7" s="60" t="str">
        <f>Calculations!B10</f>
        <v>ფისკალური ბალანსი (% მშპ-თან)</v>
      </c>
      <c r="G7" s="21"/>
      <c r="H7" s="61" t="str">
        <f>Calculations!B11</f>
        <v>მიმდინარე ანგარიშის ბალანსი (% მშპ-თან)</v>
      </c>
      <c r="I7" s="21"/>
      <c r="J7" s="92" t="str">
        <f>Calculations!B12</f>
        <v>მშპ ერთ სულ მოსახლეზე დოლარი</v>
      </c>
      <c r="K7" s="92"/>
      <c r="L7" s="92"/>
      <c r="M7" s="8"/>
    </row>
    <row r="8" spans="2:14" ht="42" customHeight="1" x14ac:dyDescent="0.3">
      <c r="B8" s="39">
        <f ca="1">IFERROR(Calculations!G8,"")</f>
        <v>5.520140691373987E-2</v>
      </c>
      <c r="C8" s="22"/>
      <c r="D8" s="39">
        <f ca="1">IFERROR(Calculations!G9,"")</f>
        <v>3.8398395080472492E-2</v>
      </c>
      <c r="E8" s="17"/>
      <c r="F8" s="39">
        <f ca="1">IFERROR(Calculations!G10,"")</f>
        <v>-2.5569682426683366E-2</v>
      </c>
      <c r="G8" s="17"/>
      <c r="H8" s="39">
        <f ca="1">IFERROR(Calculations!G11,"")</f>
        <v>-7.6246150572386692E-2</v>
      </c>
      <c r="I8" s="23"/>
      <c r="J8" s="86">
        <f ca="1">IFERROR(Calculations!G12,"")</f>
        <v>5036.1532353557104</v>
      </c>
      <c r="K8" s="87"/>
      <c r="L8" s="88"/>
    </row>
    <row r="9" spans="2:14" s="4" customFormat="1" ht="18.75" customHeight="1" x14ac:dyDescent="0.3">
      <c r="B9" s="64"/>
      <c r="C9" s="24"/>
      <c r="D9" s="63"/>
      <c r="E9" s="25"/>
      <c r="F9" s="63"/>
      <c r="G9" s="25"/>
      <c r="H9" s="63"/>
      <c r="I9" s="26"/>
      <c r="J9" s="83"/>
      <c r="K9" s="84"/>
      <c r="L9" s="85"/>
      <c r="M9" s="5"/>
    </row>
    <row r="10" spans="2:14" ht="18.75" customHeight="1" x14ac:dyDescent="0.3">
      <c r="B10" s="27"/>
      <c r="C10" s="28"/>
      <c r="D10" s="27"/>
      <c r="E10" s="28"/>
      <c r="F10" s="27"/>
      <c r="G10" s="28"/>
      <c r="H10" s="29"/>
      <c r="I10" s="36"/>
      <c r="J10" s="89"/>
      <c r="K10" s="90"/>
      <c r="L10" s="91"/>
      <c r="M10" s="6"/>
    </row>
    <row r="11" spans="2:14" ht="18.75" customHeight="1" thickBot="1" x14ac:dyDescent="0.35">
      <c r="B11" s="30"/>
      <c r="C11" s="17"/>
      <c r="D11" s="30"/>
      <c r="E11" s="17"/>
      <c r="F11" s="30"/>
      <c r="G11" s="17"/>
      <c r="H11" s="30"/>
      <c r="I11" s="17"/>
      <c r="J11" s="31"/>
      <c r="K11" s="32"/>
      <c r="L11" s="33"/>
    </row>
    <row r="12" spans="2:14" ht="18.75" customHeight="1" thickBot="1" x14ac:dyDescent="0.3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4" ht="24" customHeight="1" thickBot="1" x14ac:dyDescent="0.35">
      <c r="B13" s="34"/>
      <c r="C13" s="34"/>
      <c r="D13" s="46"/>
      <c r="E13" s="46"/>
      <c r="F13" s="46"/>
      <c r="G13" s="46"/>
      <c r="H13" s="46"/>
      <c r="I13" s="34"/>
      <c r="J13" s="34"/>
      <c r="K13" s="34"/>
      <c r="L13" s="34"/>
    </row>
    <row r="15" spans="2:14" ht="18.75" customHeight="1" x14ac:dyDescent="0.3">
      <c r="B15" s="41" t="s">
        <v>28</v>
      </c>
      <c r="C15" s="42"/>
      <c r="D15" s="43" t="str">
        <f>"არჩეული წელი ("&amp;SelectedYear&amp;")"</f>
        <v>არჩეული წელი (2019)</v>
      </c>
      <c r="E15" s="42"/>
      <c r="F15" s="43" t="str">
        <f>"წინა წელი ("&amp;SelectedYear-1&amp;")"</f>
        <v>წინა წელი (2018)</v>
      </c>
      <c r="G15" s="42"/>
      <c r="H15" s="44" t="s">
        <v>41</v>
      </c>
      <c r="I15" s="93" t="str">
        <f ca="1">CONCATENATE(Years," წლის ტრენდი")</f>
        <v>4 წლის ტრენდი</v>
      </c>
      <c r="J15" s="93"/>
      <c r="K15" s="93"/>
      <c r="L15" s="93"/>
    </row>
    <row r="16" spans="2:14" ht="18.75" customHeight="1" x14ac:dyDescent="0.3">
      <c r="B16" s="13" t="str">
        <f>Calculations!B15</f>
        <v>რეალური მთლიანი შიდა პროდუქტი</v>
      </c>
      <c r="C16" s="37"/>
      <c r="D16" s="45">
        <f ca="1">IF($B16="","",Calculations!G15)</f>
        <v>5.520140691373987E-2</v>
      </c>
      <c r="E16" s="45"/>
      <c r="F16" s="45">
        <f ca="1">IF($B16="","",Calculations!F15)</f>
        <v>5.1578632234786648E-2</v>
      </c>
      <c r="G16" s="37"/>
      <c r="H16" s="48"/>
      <c r="I16" s="81"/>
      <c r="J16" s="81"/>
      <c r="K16" s="81"/>
      <c r="L16" s="81"/>
    </row>
    <row r="17" spans="2:12" ht="18.75" customHeight="1" x14ac:dyDescent="0.3">
      <c r="B17" s="13" t="str">
        <f>Calculations!B16</f>
        <v>სამომხმარებლო ფასების ინფლაცია</v>
      </c>
      <c r="C17" s="35"/>
      <c r="D17" s="45">
        <f ca="1">IF($B17="","",Calculations!G16)</f>
        <v>3.1905585318725116E-2</v>
      </c>
      <c r="E17" s="45"/>
      <c r="F17" s="45">
        <f ca="1">IF($B17="","",Calculations!F16)</f>
        <v>3.0659652823762151E-2</v>
      </c>
      <c r="G17" s="35"/>
      <c r="H17" s="49"/>
      <c r="I17" s="81"/>
      <c r="J17" s="81"/>
      <c r="K17" s="81"/>
      <c r="L17" s="81"/>
    </row>
    <row r="18" spans="2:12" ht="18.75" customHeight="1" x14ac:dyDescent="0.3">
      <c r="B18" s="13" t="str">
        <f>Calculations!B17</f>
        <v>მშპ-ს დეფლატორი</v>
      </c>
      <c r="C18" s="35"/>
      <c r="D18" s="45">
        <f ca="1">IF($B18="","",Calculations!G17)</f>
        <v>3.8398395080472492E-2</v>
      </c>
      <c r="E18" s="45"/>
      <c r="F18" s="45">
        <f ca="1">IF($B18="","",Calculations!F17)</f>
        <v>3.9216742455568943E-2</v>
      </c>
      <c r="G18" s="35"/>
      <c r="H18" s="49"/>
      <c r="I18" s="81"/>
      <c r="J18" s="81"/>
      <c r="K18" s="81"/>
      <c r="L18" s="81"/>
    </row>
    <row r="19" spans="2:12" ht="18.75" customHeight="1" x14ac:dyDescent="0.3">
      <c r="B19" s="13" t="str">
        <f>Calculations!B18</f>
        <v>ნომინალური მშპ მლნ ლარი</v>
      </c>
      <c r="C19" s="35"/>
      <c r="D19" s="58">
        <f ca="1">IF($B19="","",Calculations!G18)</f>
        <v>45540.86476036418</v>
      </c>
      <c r="E19" s="58"/>
      <c r="F19" s="58">
        <f ca="1">IF($B19="","",Calculations!F18)</f>
        <v>41562.259973770422</v>
      </c>
      <c r="G19" s="35"/>
      <c r="H19" s="49">
        <f t="shared" ref="H19:H39" ca="1" si="0">IFERROR(D19/F19-1,"")</f>
        <v>9.5726382278168209E-2</v>
      </c>
      <c r="I19" s="81"/>
      <c r="J19" s="81"/>
      <c r="K19" s="81"/>
      <c r="L19" s="81"/>
    </row>
    <row r="20" spans="2:12" ht="18.75" customHeight="1" x14ac:dyDescent="0.3">
      <c r="B20" s="13" t="str">
        <f>Calculations!B19</f>
        <v>ნომინალური მშპ მლნ აშშ დოლარი</v>
      </c>
      <c r="C20" s="35"/>
      <c r="D20" s="58">
        <f ca="1">IF($B20="","",Calculations!G19)</f>
        <v>18725.424959699601</v>
      </c>
      <c r="E20" s="58"/>
      <c r="F20" s="58">
        <f ca="1">IF($B20="","",Calculations!F19)</f>
        <v>16898.367611758586</v>
      </c>
      <c r="G20" s="35"/>
      <c r="H20" s="49">
        <f t="shared" ca="1" si="0"/>
        <v>0.10812034569952633</v>
      </c>
      <c r="I20" s="81"/>
      <c r="J20" s="81"/>
      <c r="K20" s="81"/>
      <c r="L20" s="81"/>
    </row>
    <row r="21" spans="2:12" ht="18.75" customHeight="1" x14ac:dyDescent="0.3">
      <c r="B21" s="13" t="str">
        <f>Calculations!B20</f>
        <v>მშპ ერთ სულ მოსახლეზე ლარი</v>
      </c>
      <c r="C21" s="35"/>
      <c r="D21" s="58">
        <f ca="1">IF($B21="","",Calculations!G20)</f>
        <v>12248.094443645901</v>
      </c>
      <c r="E21" s="58"/>
      <c r="F21" s="58">
        <f ca="1">IF($B21="","",Calculations!F20)</f>
        <v>11178.059268939385</v>
      </c>
      <c r="G21" s="35"/>
      <c r="H21" s="49">
        <f t="shared" ca="1" si="0"/>
        <v>9.5726382278168431E-2</v>
      </c>
      <c r="I21" s="81"/>
      <c r="J21" s="81"/>
      <c r="K21" s="81"/>
      <c r="L21" s="81"/>
    </row>
    <row r="22" spans="2:12" ht="18.75" customHeight="1" x14ac:dyDescent="0.3">
      <c r="B22" s="13" t="str">
        <f>Calculations!B21</f>
        <v>მშპ ერთ სულ მოსახლეზე დოლარი</v>
      </c>
      <c r="C22" s="35"/>
      <c r="D22" s="58">
        <f ca="1">IF($B22="","",Calculations!G21)</f>
        <v>5036.1532353557104</v>
      </c>
      <c r="E22" s="58"/>
      <c r="F22" s="58">
        <f ca="1">IF($B22="","",Calculations!F21)</f>
        <v>4544.7710213970695</v>
      </c>
      <c r="G22" s="35"/>
      <c r="H22" s="49">
        <f t="shared" ca="1" si="0"/>
        <v>0.10812034569952633</v>
      </c>
      <c r="I22" s="81"/>
      <c r="J22" s="81"/>
      <c r="K22" s="81"/>
      <c r="L22" s="81"/>
    </row>
    <row r="23" spans="2:12" ht="18.75" customHeight="1" x14ac:dyDescent="0.3">
      <c r="B23" s="13" t="str">
        <f>Calculations!B22</f>
        <v>აბსორბცია</v>
      </c>
      <c r="C23" s="35"/>
      <c r="D23" s="58">
        <f ca="1">IF($B23="","",Calculations!G22)</f>
        <v>50200.361057944341</v>
      </c>
      <c r="E23" s="58"/>
      <c r="F23" s="58">
        <f ca="1">IF($B23="","",Calculations!F22)</f>
        <v>46176.076927444927</v>
      </c>
      <c r="G23" s="35"/>
      <c r="H23" s="49">
        <f t="shared" ca="1" si="0"/>
        <v>8.715084516215299E-2</v>
      </c>
      <c r="I23" s="81"/>
      <c r="J23" s="81"/>
      <c r="K23" s="81"/>
      <c r="L23" s="81"/>
    </row>
    <row r="24" spans="2:12" ht="18.75" customHeight="1" x14ac:dyDescent="0.3">
      <c r="B24" s="13" t="str">
        <f>Calculations!B23</f>
        <v>მოხმარება</v>
      </c>
      <c r="C24" s="62"/>
      <c r="D24" s="58">
        <f ca="1">IF($B24="","",Calculations!G23)</f>
        <v>34832.869264499685</v>
      </c>
      <c r="E24" s="58"/>
      <c r="F24" s="58">
        <f ca="1">IF($B24="","",Calculations!F23)</f>
        <v>32640.249820460467</v>
      </c>
      <c r="G24" s="62"/>
      <c r="H24" s="49">
        <f t="shared" ca="1" si="0"/>
        <v>6.7175326662628043E-2</v>
      </c>
      <c r="I24" s="81"/>
      <c r="J24" s="81"/>
      <c r="K24" s="81"/>
      <c r="L24" s="81"/>
    </row>
    <row r="25" spans="2:12" ht="18.75" customHeight="1" x14ac:dyDescent="0.3">
      <c r="B25" s="67" t="str">
        <f>Calculations!B24</f>
        <v>კერძო</v>
      </c>
      <c r="C25" s="35"/>
      <c r="D25" s="58">
        <f ca="1">IF($B25="","",Calculations!G24)</f>
        <v>31522.869264499681</v>
      </c>
      <c r="E25" s="58"/>
      <c r="F25" s="58">
        <f ca="1">IF($B25="","",Calculations!F24)</f>
        <v>29425.249820460467</v>
      </c>
      <c r="G25" s="35"/>
      <c r="H25" s="49">
        <f t="shared" ca="1" si="0"/>
        <v>7.1286376728759704E-2</v>
      </c>
      <c r="I25" s="81"/>
      <c r="J25" s="81"/>
      <c r="K25" s="81"/>
      <c r="L25" s="81"/>
    </row>
    <row r="26" spans="2:12" ht="18.75" customHeight="1" x14ac:dyDescent="0.3">
      <c r="B26" s="67" t="str">
        <f>Calculations!B25</f>
        <v>სახელმწიფო</v>
      </c>
      <c r="C26" s="35"/>
      <c r="D26" s="58">
        <f ca="1">IF($B26="","",Calculations!G25)</f>
        <v>3310</v>
      </c>
      <c r="E26" s="58"/>
      <c r="F26" s="58">
        <f ca="1">IF($B26="","",Calculations!F25)</f>
        <v>3215</v>
      </c>
      <c r="G26" s="35"/>
      <c r="H26" s="49">
        <f t="shared" ca="1" si="0"/>
        <v>2.9548989113530322E-2</v>
      </c>
      <c r="I26" s="81"/>
      <c r="J26" s="81"/>
      <c r="K26" s="81"/>
      <c r="L26" s="81"/>
    </row>
    <row r="27" spans="2:12" ht="18.75" customHeight="1" x14ac:dyDescent="0.3">
      <c r="B27" s="13" t="str">
        <f>Calculations!B26</f>
        <v>ინვესტიციები</v>
      </c>
      <c r="C27" s="62"/>
      <c r="D27" s="58">
        <f ca="1">IF($B27="","",Calculations!G26)</f>
        <v>15367.491793444657</v>
      </c>
      <c r="E27" s="58"/>
      <c r="F27" s="58">
        <f ca="1">IF($B27="","",Calculations!F26)</f>
        <v>13535.827106984456</v>
      </c>
      <c r="G27" s="62"/>
      <c r="H27" s="49">
        <f t="shared" ca="1" si="0"/>
        <v>0.13531974603273889</v>
      </c>
      <c r="I27" s="81"/>
      <c r="J27" s="81"/>
      <c r="K27" s="81"/>
      <c r="L27" s="81"/>
    </row>
    <row r="28" spans="2:12" ht="18.75" customHeight="1" x14ac:dyDescent="0.3">
      <c r="B28" s="67" t="str">
        <f>Calculations!B27</f>
        <v>კერძო</v>
      </c>
      <c r="C28" s="35"/>
      <c r="D28" s="58">
        <f ca="1">IF($B28="","",Calculations!G27)</f>
        <v>12167.491793444657</v>
      </c>
      <c r="E28" s="58"/>
      <c r="F28" s="58">
        <f ca="1">IF($B28="","",Calculations!F27)</f>
        <v>10945.827106984454</v>
      </c>
      <c r="G28" s="35"/>
      <c r="H28" s="49">
        <f t="shared" ca="1" si="0"/>
        <v>0.11161008432890984</v>
      </c>
      <c r="I28" s="81"/>
      <c r="J28" s="81"/>
      <c r="K28" s="81"/>
      <c r="L28" s="81"/>
    </row>
    <row r="29" spans="2:12" ht="18.75" customHeight="1" x14ac:dyDescent="0.3">
      <c r="B29" s="67" t="str">
        <f>Calculations!B28</f>
        <v>სახელმწიფო</v>
      </c>
      <c r="C29" s="35"/>
      <c r="D29" s="58">
        <f ca="1">IF($B29="","",Calculations!G28)</f>
        <v>3200</v>
      </c>
      <c r="E29" s="58"/>
      <c r="F29" s="58">
        <f ca="1">IF($B29="","",Calculations!F28)</f>
        <v>2590</v>
      </c>
      <c r="G29" s="35"/>
      <c r="H29" s="49">
        <f t="shared" ca="1" si="0"/>
        <v>0.23552123552123549</v>
      </c>
      <c r="I29" s="81"/>
      <c r="J29" s="81"/>
      <c r="K29" s="81"/>
      <c r="L29" s="81"/>
    </row>
    <row r="30" spans="2:12" ht="18.75" customHeight="1" x14ac:dyDescent="0.3">
      <c r="B30" s="13" t="str">
        <f>Calculations!B29</f>
        <v>მთლიანი ეროვნული დანაზოგები</v>
      </c>
      <c r="C30" s="35"/>
      <c r="D30" s="58">
        <f ca="1">IF($B30="","",Calculations!G29)</f>
        <v>12416.338466462068</v>
      </c>
      <c r="E30" s="58"/>
      <c r="F30" s="58">
        <f ca="1">IF($B30="","",Calculations!F29)</f>
        <v>10617.353501847228</v>
      </c>
      <c r="G30" s="35"/>
      <c r="H30" s="49">
        <f t="shared" ca="1" si="0"/>
        <v>0.16943817160291852</v>
      </c>
      <c r="I30" s="81"/>
      <c r="J30" s="81"/>
      <c r="K30" s="81"/>
      <c r="L30" s="81"/>
    </row>
    <row r="31" spans="2:12" ht="18.75" customHeight="1" x14ac:dyDescent="0.3">
      <c r="B31" s="67" t="str">
        <f>Calculations!B30</f>
        <v>სახელმწიფო</v>
      </c>
      <c r="C31" s="35"/>
      <c r="D31" s="58">
        <f ca="1">IF($B31="","",Calculations!G30)</f>
        <v>2450.5345506409521</v>
      </c>
      <c r="E31" s="58"/>
      <c r="F31" s="58">
        <f ca="1">IF($B31="","",Calculations!F30)</f>
        <v>2258.44629362876</v>
      </c>
      <c r="G31" s="35"/>
      <c r="H31" s="49">
        <f t="shared" ca="1" si="0"/>
        <v>8.5053276473337824E-2</v>
      </c>
      <c r="I31" s="81"/>
      <c r="J31" s="81"/>
      <c r="K31" s="81"/>
      <c r="L31" s="81"/>
    </row>
    <row r="32" spans="2:12" ht="18.75" customHeight="1" x14ac:dyDescent="0.3">
      <c r="B32" s="67" t="str">
        <f>Calculations!B31</f>
        <v>კერძო</v>
      </c>
      <c r="C32" s="35"/>
      <c r="D32" s="58">
        <f ca="1">IF($B32="","",Calculations!G31)</f>
        <v>9965.8039158211159</v>
      </c>
      <c r="E32" s="58"/>
      <c r="F32" s="58">
        <f ca="1">IF($B32="","",Calculations!F31)</f>
        <v>8358.9072082184684</v>
      </c>
      <c r="G32" s="35"/>
      <c r="H32" s="49">
        <f t="shared" ca="1" si="0"/>
        <v>0.19223765350843336</v>
      </c>
      <c r="I32" s="81"/>
      <c r="J32" s="81"/>
      <c r="K32" s="81"/>
      <c r="L32" s="81"/>
    </row>
    <row r="33" spans="2:12" ht="18.75" customHeight="1" x14ac:dyDescent="0.3">
      <c r="B33" s="13" t="str">
        <f>Calculations!B32</f>
        <v>შემოსავლები და გრანტები</v>
      </c>
      <c r="C33" s="35"/>
      <c r="D33" s="58">
        <f ca="1">IF($B33="","",Calculations!G32)</f>
        <v>12545.534550640952</v>
      </c>
      <c r="E33" s="58"/>
      <c r="F33" s="58">
        <f ca="1">IF($B33="","",Calculations!F32)</f>
        <v>11848.44629362876</v>
      </c>
      <c r="G33" s="35"/>
      <c r="H33" s="49">
        <f t="shared" ca="1" si="0"/>
        <v>5.8833727202446395E-2</v>
      </c>
      <c r="I33" s="81"/>
      <c r="J33" s="81"/>
      <c r="K33" s="81"/>
      <c r="L33" s="81"/>
    </row>
    <row r="34" spans="2:12" ht="22.5" customHeight="1" x14ac:dyDescent="0.3">
      <c r="B34" s="67" t="str">
        <f>Calculations!B33</f>
        <v>საგადასახადო შემოსავლები</v>
      </c>
      <c r="C34" s="35"/>
      <c r="D34" s="58">
        <f ca="1">IF($B34="","",Calculations!G33)</f>
        <v>11331.000823772778</v>
      </c>
      <c r="E34" s="58"/>
      <c r="F34" s="58">
        <f ca="1">IF($B34="","",Calculations!F33)</f>
        <v>10574.560959969265</v>
      </c>
      <c r="G34" s="35"/>
      <c r="H34" s="49">
        <f t="shared" ca="1" si="0"/>
        <v>7.1533926246873936E-2</v>
      </c>
      <c r="I34" s="81"/>
      <c r="J34" s="81"/>
      <c r="K34" s="81"/>
      <c r="L34" s="81"/>
    </row>
    <row r="35" spans="2:12" ht="18.75" customHeight="1" x14ac:dyDescent="0.3">
      <c r="B35" s="68" t="str">
        <f>Calculations!B34</f>
        <v>პირდაპირი გადასახადები</v>
      </c>
      <c r="C35" s="35"/>
      <c r="D35" s="58">
        <f ca="1">IF($B35="","",Calculations!G34)</f>
        <v>4943.8071472293632</v>
      </c>
      <c r="E35" s="58"/>
      <c r="F35" s="58">
        <f ca="1">IF($B35="","",Calculations!F34)</f>
        <v>4494.3413194665327</v>
      </c>
      <c r="G35" s="35"/>
      <c r="H35" s="49">
        <f t="shared" ca="1" si="0"/>
        <v>0.10000705238296881</v>
      </c>
      <c r="I35" s="81"/>
      <c r="J35" s="81"/>
      <c r="K35" s="81"/>
      <c r="L35" s="81"/>
    </row>
    <row r="36" spans="2:12" ht="18.75" customHeight="1" x14ac:dyDescent="0.3">
      <c r="B36" s="68" t="str">
        <f>Calculations!B35</f>
        <v>არაპირდაპირი გადასახადები</v>
      </c>
      <c r="C36" s="52"/>
      <c r="D36" s="58">
        <f ca="1">IF($B36="","",Calculations!G35)</f>
        <v>6387.1936765434148</v>
      </c>
      <c r="E36" s="58"/>
      <c r="F36" s="58">
        <f ca="1">IF($B36="","",Calculations!F35)</f>
        <v>6080.2196405027335</v>
      </c>
      <c r="G36" s="52"/>
      <c r="H36" s="49">
        <f t="shared" ca="1" si="0"/>
        <v>5.0487326805730204E-2</v>
      </c>
      <c r="I36" s="81"/>
      <c r="J36" s="81"/>
      <c r="K36" s="81"/>
      <c r="L36" s="81"/>
    </row>
    <row r="37" spans="2:12" ht="18.75" customHeight="1" x14ac:dyDescent="0.3">
      <c r="B37" s="13" t="str">
        <f>Calculations!B36</f>
        <v>ხარჯები და არაფინანსური აქტივების ზრდა</v>
      </c>
      <c r="C37" s="52"/>
      <c r="D37" s="58">
        <f ca="1">IF($B37="","",Calculations!G36)</f>
        <v>13295</v>
      </c>
      <c r="E37" s="58"/>
      <c r="F37" s="58">
        <f ca="1">IF($B37="","",Calculations!F36)</f>
        <v>12180</v>
      </c>
      <c r="G37" s="52"/>
      <c r="H37" s="49">
        <f t="shared" ca="1" si="0"/>
        <v>9.1543513957307088E-2</v>
      </c>
      <c r="I37" s="81"/>
      <c r="J37" s="81"/>
      <c r="K37" s="81"/>
      <c r="L37" s="81"/>
    </row>
    <row r="38" spans="2:12" ht="18.75" customHeight="1" x14ac:dyDescent="0.3">
      <c r="B38" s="67" t="str">
        <f>Calculations!B37</f>
        <v>მიმდინარე ხარჯები</v>
      </c>
      <c r="C38" s="52"/>
      <c r="D38" s="58">
        <f ca="1">IF($B38="","",Calculations!G37)</f>
        <v>10095</v>
      </c>
      <c r="E38" s="58"/>
      <c r="F38" s="58">
        <f ca="1">IF($B38="","",Calculations!F37)</f>
        <v>9590</v>
      </c>
      <c r="G38" s="52"/>
      <c r="H38" s="49">
        <f t="shared" ca="1" si="0"/>
        <v>5.2659019812304475E-2</v>
      </c>
      <c r="I38" s="81"/>
      <c r="J38" s="81"/>
      <c r="K38" s="81"/>
      <c r="L38" s="81"/>
    </row>
    <row r="39" spans="2:12" ht="18.75" customHeight="1" x14ac:dyDescent="0.3">
      <c r="B39" s="67" t="str">
        <f>Calculations!B38</f>
        <v>კაპიტალური ხარჯები</v>
      </c>
      <c r="C39" s="52"/>
      <c r="D39" s="58">
        <f ca="1">IF($B39="","",Calculations!G38)</f>
        <v>3200</v>
      </c>
      <c r="E39" s="58"/>
      <c r="F39" s="58">
        <f ca="1">IF($B39="","",Calculations!F38)</f>
        <v>2590</v>
      </c>
      <c r="G39" s="52"/>
      <c r="H39" s="49">
        <f t="shared" ca="1" si="0"/>
        <v>0.23552123552123549</v>
      </c>
      <c r="I39" s="81"/>
      <c r="J39" s="81"/>
      <c r="K39" s="81"/>
      <c r="L39" s="81"/>
    </row>
    <row r="40" spans="2:12" ht="18.75" customHeight="1" x14ac:dyDescent="0.3">
      <c r="B40" s="13" t="str">
        <f>Calculations!B39</f>
        <v>საოპერაციო სალდო (% მშპ-თან)</v>
      </c>
      <c r="C40" s="52"/>
      <c r="D40" s="45">
        <f ca="1">IF($B40="","",Calculations!G39)</f>
        <v>5.3809574401708297E-2</v>
      </c>
      <c r="E40" s="45"/>
      <c r="F40" s="45">
        <f ca="1">IF($B40="","",Calculations!F39)</f>
        <v>5.433887125132382E-2</v>
      </c>
      <c r="G40" s="52"/>
      <c r="H40" s="49"/>
      <c r="I40" s="81"/>
      <c r="J40" s="81"/>
      <c r="K40" s="81"/>
      <c r="L40" s="81"/>
    </row>
    <row r="41" spans="2:12" ht="18.75" customHeight="1" x14ac:dyDescent="0.3">
      <c r="B41" s="13" t="str">
        <f>Calculations!B40</f>
        <v>მთლიანი სალდო (% მშპ-თან)</v>
      </c>
      <c r="C41" s="52"/>
      <c r="D41" s="45">
        <f ca="1">IF($B41="","",Calculations!G40)</f>
        <v>-1.3382825569212446E-2</v>
      </c>
      <c r="E41" s="45"/>
      <c r="F41" s="45">
        <f ca="1">IF($B41="","",Calculations!F40)</f>
        <v>-4.368234703450124E-3</v>
      </c>
      <c r="G41" s="52"/>
      <c r="H41" s="49"/>
      <c r="I41" s="81"/>
      <c r="J41" s="81"/>
      <c r="K41" s="81"/>
      <c r="L41" s="81"/>
    </row>
    <row r="42" spans="2:12" ht="18.75" customHeight="1" x14ac:dyDescent="0.3">
      <c r="B42" s="13" t="str">
        <f>Calculations!B41</f>
        <v>ფისკალური ბალანსი (% მშპ-თან)</v>
      </c>
      <c r="C42" s="52"/>
      <c r="D42" s="45">
        <f ca="1">IF($B42="","",Calculations!G41)</f>
        <v>-2.5569682426683366E-2</v>
      </c>
      <c r="E42" s="45"/>
      <c r="F42" s="45">
        <f ca="1">IF($B42="","",Calculations!F41)</f>
        <v>-2.3520225006728835E-2</v>
      </c>
      <c r="G42" s="52"/>
      <c r="H42" s="49"/>
      <c r="I42" s="81"/>
      <c r="J42" s="81"/>
      <c r="K42" s="81"/>
      <c r="L42" s="81"/>
    </row>
    <row r="43" spans="2:12" ht="18.75" customHeight="1" x14ac:dyDescent="0.3">
      <c r="B43" s="13" t="str">
        <f>Calculations!B42</f>
        <v>სახელმწიფო ვალი (% მშპ-თან)</v>
      </c>
      <c r="C43" s="52"/>
      <c r="D43" s="45">
        <f ca="1">IF($B43="","",Calculations!G42)</f>
        <v>0.41343111571202479</v>
      </c>
      <c r="E43" s="45"/>
      <c r="F43" s="45">
        <f ca="1">IF($B43="","",Calculations!F42)</f>
        <v>0.42463081308903183</v>
      </c>
      <c r="G43" s="52"/>
      <c r="H43" s="49"/>
      <c r="I43" s="81"/>
      <c r="J43" s="81"/>
      <c r="K43" s="81"/>
      <c r="L43" s="81"/>
    </row>
    <row r="44" spans="2:12" ht="18.75" customHeight="1" x14ac:dyDescent="0.3">
      <c r="B44" s="67" t="str">
        <f>Calculations!B43</f>
        <v>საგარეო (% მშპ-თან)</v>
      </c>
      <c r="C44" s="52"/>
      <c r="D44" s="45">
        <f ca="1">IF($B44="","",Calculations!G43)</f>
        <v>0.31988436330806513</v>
      </c>
      <c r="E44" s="45"/>
      <c r="F44" s="45">
        <f ca="1">IF($B44="","",Calculations!F43)</f>
        <v>0.33079087266083129</v>
      </c>
      <c r="G44" s="52"/>
      <c r="H44" s="49"/>
      <c r="I44" s="81"/>
      <c r="J44" s="81"/>
      <c r="K44" s="81"/>
      <c r="L44" s="81"/>
    </row>
    <row r="45" spans="2:12" ht="18.75" customHeight="1" x14ac:dyDescent="0.3">
      <c r="B45" s="67" t="str">
        <f>Calculations!B44</f>
        <v>საშინაო (% მშპ-თან)</v>
      </c>
      <c r="C45" s="52"/>
      <c r="D45" s="45">
        <f ca="1">IF($B45="","",Calculations!G44)</f>
        <v>9.3546752403959654E-2</v>
      </c>
      <c r="E45" s="45"/>
      <c r="F45" s="45">
        <f ca="1">IF($B45="","",Calculations!F44)</f>
        <v>9.3839940428200569E-2</v>
      </c>
      <c r="G45" s="52"/>
      <c r="H45" s="49"/>
      <c r="I45" s="81"/>
      <c r="J45" s="81"/>
      <c r="K45" s="81"/>
      <c r="L45" s="81"/>
    </row>
    <row r="46" spans="2:12" ht="18.75" customHeight="1" x14ac:dyDescent="0.3">
      <c r="B46" s="13" t="str">
        <f>Calculations!B45</f>
        <v>წმინდა უცხოური აქტივები</v>
      </c>
      <c r="C46" s="52"/>
      <c r="D46" s="58">
        <f ca="1">IF($B46="","",Calculations!G45)</f>
        <v>2135.6700003098008</v>
      </c>
      <c r="E46" s="58"/>
      <c r="F46" s="58">
        <f ca="1">IF($B46="","",Calculations!F45)</f>
        <v>2056.8200002983626</v>
      </c>
      <c r="G46" s="52"/>
      <c r="H46" s="49">
        <f ca="1">IFERROR(D46/F46-1,"")</f>
        <v>3.8335877714141375E-2</v>
      </c>
      <c r="I46" s="81"/>
      <c r="J46" s="81"/>
      <c r="K46" s="81"/>
      <c r="L46" s="81"/>
    </row>
    <row r="47" spans="2:12" ht="18.75" customHeight="1" x14ac:dyDescent="0.3">
      <c r="B47" s="13" t="str">
        <f>Calculations!B46</f>
        <v>წმინდა საშინაო აქტივები</v>
      </c>
      <c r="C47" s="52"/>
      <c r="D47" s="58">
        <f ca="1">IF($B47="","",Calculations!G46)</f>
        <v>21366.44018649021</v>
      </c>
      <c r="E47" s="58"/>
      <c r="F47" s="58">
        <f ca="1">IF($B47="","",Calculations!F46)</f>
        <v>18731.314361350738</v>
      </c>
      <c r="G47" s="52"/>
      <c r="H47" s="49">
        <f t="shared" ref="H47:H48" ca="1" si="1">IFERROR(D47/F47-1,"")</f>
        <v>0.14068024134903534</v>
      </c>
      <c r="I47" s="81"/>
      <c r="J47" s="81"/>
      <c r="K47" s="81"/>
      <c r="L47" s="81"/>
    </row>
    <row r="48" spans="2:12" ht="17.25" customHeight="1" x14ac:dyDescent="0.3">
      <c r="B48" s="13" t="str">
        <f>Calculations!B47</f>
        <v>ფართო ფული M3</v>
      </c>
      <c r="C48" s="52"/>
      <c r="D48" s="58">
        <f ca="1">IF($B48="","",Calculations!G47)</f>
        <v>23502.110186800011</v>
      </c>
      <c r="E48" s="58"/>
      <c r="F48" s="58">
        <f ca="1">IF($B48="","",Calculations!F47)</f>
        <v>20788.134361649099</v>
      </c>
      <c r="G48" s="52"/>
      <c r="H48" s="49">
        <f t="shared" ca="1" si="1"/>
        <v>0.13055408330233709</v>
      </c>
      <c r="I48" s="81"/>
      <c r="J48" s="81"/>
      <c r="K48" s="81"/>
      <c r="L48" s="81"/>
    </row>
    <row r="49" spans="2:12" ht="17.25" customHeight="1" x14ac:dyDescent="0.3">
      <c r="B49" s="13" t="str">
        <f>Calculations!B48</f>
        <v xml:space="preserve">ფართო ფული M2 </v>
      </c>
      <c r="C49" s="52"/>
      <c r="D49" s="58">
        <f ca="1">IF($B49="","",Calculations!G48)</f>
        <v>11471.098500358961</v>
      </c>
      <c r="E49" s="58"/>
      <c r="F49" s="58">
        <f ca="1">IF($B49="","",Calculations!F48)</f>
        <v>10006.581964739742</v>
      </c>
      <c r="G49" s="52"/>
      <c r="H49" s="49">
        <f ca="1">IFERROR(D49/F49-1,"")</f>
        <v>0.14635532300437304</v>
      </c>
      <c r="I49" s="81"/>
      <c r="J49" s="81"/>
      <c r="K49" s="81"/>
      <c r="L49" s="81"/>
    </row>
    <row r="50" spans="2:12" ht="17.25" customHeight="1" x14ac:dyDescent="0.3">
      <c r="B50" s="13" t="str">
        <f>Calculations!B49</f>
        <v>კერძო სექტორის დაკრედიტება</v>
      </c>
      <c r="C50" s="52"/>
      <c r="D50" s="58">
        <f ca="1">IF($B50="","",Calculations!G49)</f>
        <v>28173.605465204029</v>
      </c>
      <c r="E50" s="58"/>
      <c r="F50" s="58">
        <f ca="1">IF($B50="","",Calculations!F49)</f>
        <v>24831.648093305805</v>
      </c>
      <c r="G50" s="52"/>
      <c r="H50" s="49">
        <f ca="1">IFERROR(D50/F50-1,"")</f>
        <v>0.13458459782213006</v>
      </c>
      <c r="I50" s="81"/>
      <c r="J50" s="81"/>
      <c r="K50" s="81"/>
      <c r="L50" s="81"/>
    </row>
    <row r="51" spans="2:12" ht="33" customHeight="1" x14ac:dyDescent="0.3">
      <c r="B51" s="69" t="str">
        <f>Calculations!B50</f>
        <v>მიმდინარე ანგარიშის ბალანსი (% მშპ-თან)</v>
      </c>
      <c r="C51" s="59"/>
      <c r="D51" s="45">
        <f ca="1">IF($B51="","",Calculations!G50)</f>
        <v>-7.6246150572386692E-2</v>
      </c>
      <c r="E51" s="45"/>
      <c r="F51" s="45">
        <f ca="1">IF($B51="","",Calculations!F50)</f>
        <v>-8.0201517441102724E-2</v>
      </c>
      <c r="G51" s="66"/>
      <c r="H51" s="49"/>
      <c r="I51" s="81"/>
      <c r="J51" s="81"/>
      <c r="K51" s="81"/>
      <c r="L51" s="81"/>
    </row>
    <row r="52" spans="2:12" ht="17.25" customHeight="1" x14ac:dyDescent="0.3">
      <c r="B52" s="13" t="str">
        <f>Calculations!B51</f>
        <v>სავაჭრო ბალანსი (% მშპ-თან)</v>
      </c>
      <c r="C52" s="66"/>
      <c r="D52" s="45">
        <f ca="1">IF($B52="","",Calculations!G51)</f>
        <v>-0.10180875815335441</v>
      </c>
      <c r="E52" s="45"/>
      <c r="F52" s="45">
        <f ca="1">IF($B52="","",Calculations!F51)</f>
        <v>-0.11032967202348996</v>
      </c>
      <c r="G52" s="66"/>
      <c r="H52" s="49"/>
      <c r="I52" s="81"/>
      <c r="J52" s="81"/>
      <c r="K52" s="81"/>
      <c r="L52" s="81"/>
    </row>
    <row r="53" spans="2:12" ht="42.75" customHeight="1" x14ac:dyDescent="0.3">
      <c r="B53" s="69" t="str">
        <f>Calculations!B52</f>
        <v>წმინდა კერძო კაპიტალური და ფინანსური ნაკადები (მლნ აშშ დოლარი)</v>
      </c>
      <c r="C53" s="66"/>
      <c r="D53" s="58">
        <f ca="1">IF($B53="","",Calculations!G52)</f>
        <v>1416.6467562638754</v>
      </c>
      <c r="E53" s="58"/>
      <c r="F53" s="58">
        <f ca="1">IF($B53="","",Calculations!F52)</f>
        <v>1349.1292566339</v>
      </c>
      <c r="G53" s="66"/>
      <c r="H53" s="49">
        <f t="shared" ref="H53:H54" ca="1" si="2">IFERROR(D53/F53-1,"")</f>
        <v>5.0045241623795755E-2</v>
      </c>
      <c r="I53" s="81"/>
      <c r="J53" s="81"/>
      <c r="K53" s="81"/>
      <c r="L53" s="81"/>
    </row>
    <row r="54" spans="2:12" ht="45.75" customHeight="1" x14ac:dyDescent="0.3">
      <c r="B54" s="69" t="str">
        <f>Calculations!B53</f>
        <v>ოფიციალური საერთაშორისო რეზერვები (მლნ აშშ დოლარი)</v>
      </c>
      <c r="C54" s="66"/>
      <c r="D54" s="58">
        <f ca="1">IF($B54="","",Calculations!G53)</f>
        <v>3783.9840479983027</v>
      </c>
      <c r="E54" s="58"/>
      <c r="F54" s="58">
        <f ca="1">IF($B54="","",Calculations!F53)</f>
        <v>3427.1955909806329</v>
      </c>
      <c r="G54" s="66"/>
      <c r="H54" s="49">
        <f t="shared" ca="1" si="2"/>
        <v>0.10410507586921258</v>
      </c>
      <c r="I54" s="81"/>
      <c r="J54" s="81"/>
      <c r="K54" s="81"/>
      <c r="L54" s="81"/>
    </row>
    <row r="55" spans="2:12" ht="17.25" customHeight="1" x14ac:dyDescent="0.3">
      <c r="B55" s="13" t="str">
        <f>Calculations!B54</f>
        <v>იმპორტის ჯერადი</v>
      </c>
      <c r="C55" s="66"/>
      <c r="D55" s="58">
        <f ca="1">IF($B55="","",Calculations!G54)</f>
        <v>3.9576907216548975</v>
      </c>
      <c r="E55" s="58"/>
      <c r="F55" s="58">
        <f ca="1">IF($B55="","",Calculations!F54)</f>
        <v>3.957690721654898</v>
      </c>
      <c r="G55" s="66"/>
      <c r="H55" s="49"/>
      <c r="I55" s="81"/>
      <c r="J55" s="81"/>
      <c r="K55" s="81"/>
      <c r="L55" s="81"/>
    </row>
  </sheetData>
  <sheetProtection selectLockedCells="1"/>
  <mergeCells count="46">
    <mergeCell ref="I15:L15"/>
    <mergeCell ref="I16:L16"/>
    <mergeCell ref="I17:L17"/>
    <mergeCell ref="I18:L18"/>
    <mergeCell ref="I19:L19"/>
    <mergeCell ref="I30:L30"/>
    <mergeCell ref="I20:L20"/>
    <mergeCell ref="I26:L26"/>
    <mergeCell ref="I27:L27"/>
    <mergeCell ref="I28:L28"/>
    <mergeCell ref="I21:L21"/>
    <mergeCell ref="I22:L22"/>
    <mergeCell ref="I23:L23"/>
    <mergeCell ref="I24:L24"/>
    <mergeCell ref="I25:L25"/>
    <mergeCell ref="I29:L29"/>
    <mergeCell ref="K2:L2"/>
    <mergeCell ref="J9:L9"/>
    <mergeCell ref="J8:L8"/>
    <mergeCell ref="J10:L10"/>
    <mergeCell ref="J7:L7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9:L49"/>
    <mergeCell ref="I50:L50"/>
    <mergeCell ref="I46:L46"/>
    <mergeCell ref="I47:L47"/>
    <mergeCell ref="I48:L48"/>
    <mergeCell ref="I52:L52"/>
    <mergeCell ref="I53:L53"/>
    <mergeCell ref="I54:L54"/>
    <mergeCell ref="I55:L55"/>
    <mergeCell ref="I51:L51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B16:I55">
    <cfRule type="expression" dxfId="22" priority="1">
      <formula>MOD(ROW(),2)=0</formula>
    </cfRule>
  </conditionalFormatting>
  <conditionalFormatting sqref="H18:H55">
    <cfRule type="iconSet" priority="2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rkers="1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  <x14:sparkline>
              <xm:f>Calculations!C40:G40</xm:f>
              <xm:sqref>I41</xm:sqref>
            </x14:sparkline>
            <x14:sparkline>
              <xm:f>Calculations!C41:G41</xm:f>
              <xm:sqref>I42</xm:sqref>
            </x14:sparkline>
            <x14:sparkline>
              <xm:f>Calculations!C42:G42</xm:f>
              <xm:sqref>I43</xm:sqref>
            </x14:sparkline>
            <x14:sparkline>
              <xm:f>Calculations!C43:G43</xm:f>
              <xm:sqref>I44</xm:sqref>
            </x14:sparkline>
            <x14:sparkline>
              <xm:f>Calculations!C44:G44</xm:f>
              <xm:sqref>I45</xm:sqref>
            </x14:sparkline>
            <x14:sparkline>
              <xm:f>Calculations!C45:G45</xm:f>
              <xm:sqref>I46</xm:sqref>
            </x14:sparkline>
            <x14:sparkline>
              <xm:f>Calculations!C46:G46</xm:f>
              <xm:sqref>I47</xm:sqref>
            </x14:sparkline>
            <x14:sparkline>
              <xm:f>Calculations!C47:G47</xm:f>
              <xm:sqref>I48</xm:sqref>
            </x14:sparkline>
            <x14:sparkline>
              <xm:f>Calculations!C48:G48</xm:f>
              <xm:sqref>I49</xm:sqref>
            </x14:sparkline>
            <x14:sparkline>
              <xm:f>Calculations!C49:G49</xm:f>
              <xm:sqref>I50</xm:sqref>
            </x14:sparkline>
            <x14:sparkline>
              <xm:f>Calculations!C50:G50</xm:f>
              <xm:sqref>I51</xm:sqref>
            </x14:sparkline>
            <x14:sparkline>
              <xm:f>Calculations!C51:G51</xm:f>
              <xm:sqref>I52</xm:sqref>
            </x14:sparkline>
            <x14:sparkline>
              <xm:f>Calculations!C52:G52</xm:f>
              <xm:sqref>I53</xm:sqref>
            </x14:sparkline>
            <x14:sparkline>
              <xm:f>Calculations!C53:G53</xm:f>
              <xm:sqref>I54</xm:sqref>
            </x14:sparkline>
            <x14:sparkline>
              <xm:f>Calculations!C54:G54</xm:f>
              <xm:sqref>I55</xm:sqref>
            </x14:sparkline>
          </x14:sparklines>
        </x14:sparklineGroup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CCCC"/>
    <pageSetUpPr autoPageBreaks="0" fitToPage="1"/>
  </sheetPr>
  <dimension ref="B1:Q43"/>
  <sheetViews>
    <sheetView showGridLines="0" topLeftCell="B1" zoomScale="80" zoomScaleNormal="80" workbookViewId="0">
      <pane ySplit="3" topLeftCell="A19" activePane="bottomLeft" state="frozen"/>
      <selection pane="bottomLeft" activeCell="H22" sqref="H22"/>
    </sheetView>
  </sheetViews>
  <sheetFormatPr defaultRowHeight="15" x14ac:dyDescent="0.3"/>
  <cols>
    <col min="1" max="1" width="2.140625" customWidth="1"/>
    <col min="2" max="2" width="47.7109375" customWidth="1"/>
    <col min="3" max="9" width="14" customWidth="1"/>
    <col min="11" max="11" width="14.140625" bestFit="1" customWidth="1"/>
    <col min="12" max="16" width="12.5703125" bestFit="1" customWidth="1"/>
    <col min="17" max="17" width="9.42578125" bestFit="1" customWidth="1"/>
  </cols>
  <sheetData>
    <row r="1" spans="2:17" ht="8.25" customHeight="1" x14ac:dyDescent="0.3"/>
    <row r="2" spans="2:17" ht="25.5" customHeight="1" x14ac:dyDescent="0.3">
      <c r="B2" s="16"/>
    </row>
    <row r="3" spans="2:17" ht="25.5" customHeight="1" x14ac:dyDescent="0.3">
      <c r="B3" s="50" t="s">
        <v>0</v>
      </c>
      <c r="C3" s="51">
        <v>2016</v>
      </c>
      <c r="D3" s="51">
        <v>2017</v>
      </c>
      <c r="E3" s="51">
        <v>2018</v>
      </c>
      <c r="F3" s="51">
        <v>2019</v>
      </c>
      <c r="G3" s="51">
        <v>2020</v>
      </c>
      <c r="H3" s="51">
        <v>2021</v>
      </c>
      <c r="I3" s="51">
        <v>2022</v>
      </c>
    </row>
    <row r="4" spans="2:17" s="5" customFormat="1" ht="19.5" customHeight="1" x14ac:dyDescent="0.3">
      <c r="B4" s="14" t="s">
        <v>6</v>
      </c>
      <c r="C4" s="73">
        <v>2.8467447155707148E-2</v>
      </c>
      <c r="D4" s="73">
        <v>4.9861637915590507E-2</v>
      </c>
      <c r="E4" s="73">
        <v>5.1578632234786648E-2</v>
      </c>
      <c r="F4" s="73">
        <v>5.520140691373987E-2</v>
      </c>
      <c r="G4" s="73">
        <v>5.6969430032019375E-2</v>
      </c>
      <c r="H4" s="73">
        <v>5.8757103844406133E-2</v>
      </c>
      <c r="I4" s="74">
        <v>6.0555675554095245E-2</v>
      </c>
    </row>
    <row r="5" spans="2:17" s="5" customFormat="1" ht="19.5" customHeight="1" x14ac:dyDescent="0.3">
      <c r="B5" s="15" t="s">
        <v>7</v>
      </c>
      <c r="C5" s="75">
        <v>2.134601424737359E-2</v>
      </c>
      <c r="D5" s="75">
        <v>6.0353172527211729E-2</v>
      </c>
      <c r="E5" s="75">
        <v>3.0659652823762151E-2</v>
      </c>
      <c r="F5" s="75">
        <v>3.1905585318725116E-2</v>
      </c>
      <c r="G5" s="75">
        <v>3.3033042341865659E-2</v>
      </c>
      <c r="H5" s="75">
        <v>3.2018071526218828E-2</v>
      </c>
      <c r="I5" s="76">
        <v>3.2203893688775853E-2</v>
      </c>
    </row>
    <row r="6" spans="2:17" s="5" customFormat="1" ht="19.5" customHeight="1" x14ac:dyDescent="0.3">
      <c r="B6" s="15" t="s">
        <v>8</v>
      </c>
      <c r="C6" s="75">
        <v>4.1800930755551802E-2</v>
      </c>
      <c r="D6" s="75">
        <v>6.4949397111304874E-2</v>
      </c>
      <c r="E6" s="75">
        <v>3.9216742455568943E-2</v>
      </c>
      <c r="F6" s="75">
        <v>3.8398395080472492E-2</v>
      </c>
      <c r="G6" s="75">
        <v>3.3893590071590873E-2</v>
      </c>
      <c r="H6" s="75">
        <v>3.2370092971507614E-2</v>
      </c>
      <c r="I6" s="76">
        <v>3.2618857015627389E-2</v>
      </c>
    </row>
    <row r="7" spans="2:17" s="5" customFormat="1" ht="19.5" customHeight="1" x14ac:dyDescent="0.3">
      <c r="B7" s="15" t="s">
        <v>33</v>
      </c>
      <c r="C7" s="77">
        <v>34028.452192899844</v>
      </c>
      <c r="D7" s="77">
        <v>38042.216213230575</v>
      </c>
      <c r="E7" s="77">
        <v>41562.259973770422</v>
      </c>
      <c r="F7" s="77">
        <v>45540.86476036418</v>
      </c>
      <c r="G7" s="77">
        <v>49753.186019028682</v>
      </c>
      <c r="H7" s="77">
        <v>54389.056723395159</v>
      </c>
      <c r="I7" s="78">
        <v>59549.373958314893</v>
      </c>
    </row>
    <row r="8" spans="2:17" s="5" customFormat="1" ht="19.5" customHeight="1" x14ac:dyDescent="0.3">
      <c r="B8" s="15" t="s">
        <v>34</v>
      </c>
      <c r="C8" s="77">
        <v>14396.810804138575</v>
      </c>
      <c r="D8" s="77">
        <v>15183.254781115609</v>
      </c>
      <c r="E8" s="77">
        <v>16898.367611758586</v>
      </c>
      <c r="F8" s="77">
        <v>18725.424959699601</v>
      </c>
      <c r="G8" s="77">
        <v>20442.664015360009</v>
      </c>
      <c r="H8" s="77">
        <v>22184.085437182202</v>
      </c>
      <c r="I8" s="78">
        <v>24026.69749855077</v>
      </c>
    </row>
    <row r="9" spans="2:17" s="5" customFormat="1" ht="19.5" customHeight="1" x14ac:dyDescent="0.3">
      <c r="B9" s="15" t="s">
        <v>31</v>
      </c>
      <c r="C9" s="79">
        <v>9146.449895952006</v>
      </c>
      <c r="D9" s="79">
        <v>10231.352862468553</v>
      </c>
      <c r="E9" s="79">
        <v>11178.059268939385</v>
      </c>
      <c r="F9" s="79">
        <v>12248.094443645901</v>
      </c>
      <c r="G9" s="79">
        <v>13380.98704185592</v>
      </c>
      <c r="H9" s="79">
        <v>14627.792136892895</v>
      </c>
      <c r="I9" s="80">
        <v>16015.64573135251</v>
      </c>
    </row>
    <row r="10" spans="2:17" s="5" customFormat="1" ht="19.5" customHeight="1" x14ac:dyDescent="0.3">
      <c r="B10" s="15" t="s">
        <v>30</v>
      </c>
      <c r="C10" s="79">
        <v>3869.6943350549873</v>
      </c>
      <c r="D10" s="79">
        <v>4083.4959876057255</v>
      </c>
      <c r="E10" s="79">
        <v>4544.7710213970695</v>
      </c>
      <c r="F10" s="79">
        <v>5036.1532353557104</v>
      </c>
      <c r="G10" s="79">
        <v>5498.00011170997</v>
      </c>
      <c r="H10" s="79">
        <v>5619.6583469946027</v>
      </c>
      <c r="I10" s="80">
        <v>6461.9163838821923</v>
      </c>
    </row>
    <row r="11" spans="2:17" s="5" customFormat="1" ht="19.5" customHeight="1" x14ac:dyDescent="0.3">
      <c r="B11" s="15" t="s">
        <v>9</v>
      </c>
      <c r="C11" s="101">
        <f>C12+C15</f>
        <v>39378.104101726109</v>
      </c>
      <c r="D11" s="101">
        <f t="shared" ref="D11:I11" si="0">D12+D15</f>
        <v>42514.966077312478</v>
      </c>
      <c r="E11" s="101">
        <f t="shared" si="0"/>
        <v>46176.076927444927</v>
      </c>
      <c r="F11" s="101">
        <f t="shared" si="0"/>
        <v>50200.361057944341</v>
      </c>
      <c r="G11" s="101">
        <f t="shared" si="0"/>
        <v>54971.700774678597</v>
      </c>
      <c r="H11" s="101">
        <f t="shared" si="0"/>
        <v>60186.105859803538</v>
      </c>
      <c r="I11" s="101">
        <f t="shared" si="0"/>
        <v>65579.542583221322</v>
      </c>
    </row>
    <row r="12" spans="2:17" s="5" customFormat="1" ht="19.5" customHeight="1" x14ac:dyDescent="0.3">
      <c r="B12" s="15" t="s">
        <v>10</v>
      </c>
      <c r="C12" s="79">
        <v>28241.538294014317</v>
      </c>
      <c r="D12" s="79">
        <v>30381.660220910831</v>
      </c>
      <c r="E12" s="79">
        <v>32640.249820460467</v>
      </c>
      <c r="F12" s="79">
        <v>34832.869264499685</v>
      </c>
      <c r="G12" s="79">
        <v>37613.724943493806</v>
      </c>
      <c r="H12" s="79">
        <v>40430.736103002331</v>
      </c>
      <c r="I12" s="79">
        <v>43218.042901362278</v>
      </c>
      <c r="K12" s="71"/>
      <c r="L12" s="71"/>
      <c r="M12" s="71"/>
      <c r="N12" s="71"/>
      <c r="O12" s="71"/>
      <c r="P12" s="71"/>
      <c r="Q12" s="71"/>
    </row>
    <row r="13" spans="2:17" s="5" customFormat="1" ht="19.5" customHeight="1" x14ac:dyDescent="0.3">
      <c r="B13" s="57" t="s">
        <v>11</v>
      </c>
      <c r="C13" s="79">
        <v>25094.636029794321</v>
      </c>
      <c r="D13" s="79">
        <v>27197.006847520828</v>
      </c>
      <c r="E13" s="79">
        <v>29425.249820460467</v>
      </c>
      <c r="F13" s="79">
        <v>31522.869264499681</v>
      </c>
      <c r="G13" s="79">
        <v>34204.678386040061</v>
      </c>
      <c r="H13" s="79">
        <v>36915.736103002331</v>
      </c>
      <c r="I13" s="79">
        <v>39543.042901362278</v>
      </c>
      <c r="K13" s="71"/>
      <c r="L13" s="71"/>
      <c r="M13" s="71"/>
      <c r="N13" s="71"/>
      <c r="O13" s="71"/>
      <c r="P13" s="71"/>
      <c r="Q13" s="71"/>
    </row>
    <row r="14" spans="2:17" s="5" customFormat="1" ht="19.5" customHeight="1" x14ac:dyDescent="0.3">
      <c r="B14" s="57" t="s">
        <v>12</v>
      </c>
      <c r="C14" s="79">
        <v>3146.9022642199998</v>
      </c>
      <c r="D14" s="79">
        <v>3184.6533733899996</v>
      </c>
      <c r="E14" s="79">
        <v>3215</v>
      </c>
      <c r="F14" s="79">
        <v>3310</v>
      </c>
      <c r="G14" s="79">
        <v>3409.046557453742</v>
      </c>
      <c r="H14" s="79">
        <v>3515</v>
      </c>
      <c r="I14" s="79">
        <v>3675</v>
      </c>
      <c r="K14" s="71"/>
      <c r="L14" s="71"/>
      <c r="M14" s="71"/>
      <c r="N14" s="71"/>
      <c r="O14" s="71"/>
      <c r="P14" s="71"/>
      <c r="Q14" s="71"/>
    </row>
    <row r="15" spans="2:17" s="5" customFormat="1" ht="19.5" customHeight="1" x14ac:dyDescent="0.3">
      <c r="B15" s="15" t="s">
        <v>13</v>
      </c>
      <c r="C15" s="79">
        <v>11136.565807711791</v>
      </c>
      <c r="D15" s="79">
        <v>12133.305856401648</v>
      </c>
      <c r="E15" s="79">
        <v>13535.827106984456</v>
      </c>
      <c r="F15" s="79">
        <v>15367.491793444657</v>
      </c>
      <c r="G15" s="79">
        <v>17357.975831184791</v>
      </c>
      <c r="H15" s="79">
        <v>19755.369756801207</v>
      </c>
      <c r="I15" s="79">
        <v>22361.499681859048</v>
      </c>
      <c r="K15" s="71"/>
      <c r="L15" s="71"/>
      <c r="M15" s="71"/>
      <c r="N15" s="71"/>
      <c r="O15" s="71"/>
      <c r="P15" s="71"/>
      <c r="Q15" s="71"/>
    </row>
    <row r="16" spans="2:17" s="5" customFormat="1" ht="19.5" customHeight="1" x14ac:dyDescent="0.3">
      <c r="B16" s="57" t="s">
        <v>11</v>
      </c>
      <c r="C16" s="79">
        <v>9407.5906548417915</v>
      </c>
      <c r="D16" s="79">
        <v>9819.3797436616478</v>
      </c>
      <c r="E16" s="79">
        <v>10945.827106984454</v>
      </c>
      <c r="F16" s="79">
        <v>12167.491793444657</v>
      </c>
      <c r="G16" s="79">
        <v>13627.975831184793</v>
      </c>
      <c r="H16" s="79">
        <v>15325.369756801207</v>
      </c>
      <c r="I16" s="79">
        <v>17311.499681859048</v>
      </c>
      <c r="K16" s="71"/>
      <c r="L16" s="71"/>
      <c r="M16" s="71"/>
      <c r="N16" s="71"/>
      <c r="O16" s="71"/>
      <c r="P16" s="71"/>
      <c r="Q16" s="71"/>
    </row>
    <row r="17" spans="2:17" ht="19.5" customHeight="1" x14ac:dyDescent="0.3">
      <c r="B17" s="57" t="s">
        <v>12</v>
      </c>
      <c r="C17" s="79">
        <v>1728.9751528699999</v>
      </c>
      <c r="D17" s="94">
        <v>2313.9261127399996</v>
      </c>
      <c r="E17" s="94">
        <v>2590</v>
      </c>
      <c r="F17" s="94">
        <v>3200</v>
      </c>
      <c r="G17" s="94">
        <v>3730</v>
      </c>
      <c r="H17" s="94">
        <v>4429.9999999999991</v>
      </c>
      <c r="I17" s="94">
        <v>5049.9999999999982</v>
      </c>
      <c r="K17" s="72"/>
      <c r="L17" s="72"/>
      <c r="M17" s="72"/>
      <c r="N17" s="72"/>
      <c r="O17" s="72"/>
      <c r="P17" s="72"/>
      <c r="Q17" s="72"/>
    </row>
    <row r="18" spans="2:17" ht="19.5" customHeight="1" x14ac:dyDescent="0.3">
      <c r="B18" s="15" t="s">
        <v>48</v>
      </c>
      <c r="C18" s="95">
        <v>6737.785067083656</v>
      </c>
      <c r="D18" s="95">
        <v>8803.1955215720664</v>
      </c>
      <c r="E18" s="95">
        <v>10617.353501847228</v>
      </c>
      <c r="F18" s="95">
        <v>12416.338466462068</v>
      </c>
      <c r="G18" s="95">
        <v>13902.126470985429</v>
      </c>
      <c r="H18" s="95">
        <v>15690.732652271116</v>
      </c>
      <c r="I18" s="96">
        <v>17976.04047341214</v>
      </c>
      <c r="K18" s="70"/>
      <c r="L18" s="70"/>
      <c r="M18" s="70"/>
      <c r="N18" s="70"/>
      <c r="O18" s="70"/>
      <c r="P18" s="70"/>
    </row>
    <row r="19" spans="2:17" ht="19.5" customHeight="1" x14ac:dyDescent="0.3">
      <c r="B19" s="15" t="s">
        <v>12</v>
      </c>
      <c r="C19" s="95">
        <v>850.98024023000312</v>
      </c>
      <c r="D19" s="95">
        <v>1726.8361876899999</v>
      </c>
      <c r="E19" s="95">
        <v>2258.44629362876</v>
      </c>
      <c r="F19" s="95">
        <v>2450.5345506409521</v>
      </c>
      <c r="G19" s="95">
        <v>2790.9557246461573</v>
      </c>
      <c r="H19" s="95">
        <v>3467.3711467459834</v>
      </c>
      <c r="I19" s="96">
        <v>3902.3986918306236</v>
      </c>
      <c r="K19" s="70"/>
      <c r="L19" s="70"/>
      <c r="M19" s="70"/>
      <c r="N19" s="70"/>
      <c r="O19" s="70"/>
      <c r="P19" s="70"/>
    </row>
    <row r="20" spans="2:17" ht="19.5" customHeight="1" x14ac:dyDescent="0.3">
      <c r="B20" s="57" t="s">
        <v>11</v>
      </c>
      <c r="C20" s="95">
        <v>5886.8048268536531</v>
      </c>
      <c r="D20" s="95">
        <v>7076.3593338820665</v>
      </c>
      <c r="E20" s="95">
        <v>8358.9072082184684</v>
      </c>
      <c r="F20" s="95">
        <v>9965.8039158211159</v>
      </c>
      <c r="G20" s="95">
        <v>11111.170746339272</v>
      </c>
      <c r="H20" s="95">
        <v>12223.361505525132</v>
      </c>
      <c r="I20" s="96">
        <v>14073.641781581517</v>
      </c>
      <c r="K20" s="70"/>
      <c r="L20" s="70"/>
      <c r="M20" s="70"/>
      <c r="N20" s="70"/>
      <c r="O20" s="70"/>
      <c r="P20" s="70"/>
    </row>
    <row r="21" spans="2:17" ht="19.5" customHeight="1" x14ac:dyDescent="0.3">
      <c r="B21" s="57" t="s">
        <v>14</v>
      </c>
      <c r="C21" s="95">
        <v>9675.5067724260007</v>
      </c>
      <c r="D21" s="95">
        <v>10921.173906980001</v>
      </c>
      <c r="E21" s="95">
        <v>11848.44629362876</v>
      </c>
      <c r="F21" s="95">
        <v>12545.534550640952</v>
      </c>
      <c r="G21" s="95">
        <v>13325.955724646157</v>
      </c>
      <c r="H21" s="95">
        <v>14296.371146745983</v>
      </c>
      <c r="I21" s="96">
        <v>15240.398691830624</v>
      </c>
      <c r="K21" s="70"/>
      <c r="L21" s="70"/>
      <c r="M21" s="70"/>
      <c r="N21" s="70"/>
      <c r="O21" s="70"/>
      <c r="P21" s="70"/>
    </row>
    <row r="22" spans="2:17" ht="19.5" customHeight="1" x14ac:dyDescent="0.3">
      <c r="B22" s="15" t="s">
        <v>15</v>
      </c>
      <c r="C22" s="95">
        <v>8786.0653158799996</v>
      </c>
      <c r="D22" s="95">
        <v>9778.94832933</v>
      </c>
      <c r="E22" s="95">
        <v>10574.560959969265</v>
      </c>
      <c r="F22" s="95">
        <v>11331.000823772778</v>
      </c>
      <c r="G22" s="95">
        <v>12103.986150116434</v>
      </c>
      <c r="H22" s="95">
        <v>13101.744552123448</v>
      </c>
      <c r="I22" s="96">
        <v>14054.82664621514</v>
      </c>
      <c r="K22" s="70"/>
      <c r="L22" s="70"/>
      <c r="M22" s="70"/>
      <c r="N22" s="70"/>
      <c r="O22" s="70"/>
      <c r="P22" s="70"/>
    </row>
    <row r="23" spans="2:17" x14ac:dyDescent="0.3">
      <c r="B23" s="57" t="s">
        <v>16</v>
      </c>
      <c r="C23" s="97">
        <v>4359.9732159000005</v>
      </c>
      <c r="D23" s="97">
        <v>4133.79469109</v>
      </c>
      <c r="E23" s="97">
        <v>4494.3413194665327</v>
      </c>
      <c r="F23" s="97">
        <v>4943.8071472293632</v>
      </c>
      <c r="G23" s="97">
        <v>5333.4442066856127</v>
      </c>
      <c r="H23" s="97">
        <v>5783.6933847160417</v>
      </c>
      <c r="I23" s="98">
        <v>6269.7563006568389</v>
      </c>
      <c r="K23" s="70"/>
      <c r="L23" s="70"/>
      <c r="M23" s="70"/>
      <c r="N23" s="70"/>
      <c r="O23" s="70"/>
      <c r="P23" s="70"/>
    </row>
    <row r="24" spans="2:17" x14ac:dyDescent="0.3">
      <c r="B24" s="15" t="s">
        <v>17</v>
      </c>
      <c r="C24" s="97">
        <v>4426.0920999800001</v>
      </c>
      <c r="D24" s="97">
        <v>5645.15363824</v>
      </c>
      <c r="E24" s="97">
        <v>6080.2196405027335</v>
      </c>
      <c r="F24" s="97">
        <v>6387.1936765434148</v>
      </c>
      <c r="G24" s="97">
        <v>6770.5419434308214</v>
      </c>
      <c r="H24" s="97">
        <v>7318.051167407406</v>
      </c>
      <c r="I24" s="98">
        <v>7785.0703455583007</v>
      </c>
    </row>
    <row r="25" spans="2:17" x14ac:dyDescent="0.3">
      <c r="B25" s="15" t="s">
        <v>18</v>
      </c>
      <c r="C25" s="79">
        <v>10553.501685065999</v>
      </c>
      <c r="D25" s="79">
        <v>11508.263832029999</v>
      </c>
      <c r="E25" s="79">
        <v>12180</v>
      </c>
      <c r="F25" s="79">
        <v>13295</v>
      </c>
      <c r="G25" s="79">
        <v>14265</v>
      </c>
      <c r="H25" s="79">
        <v>15259</v>
      </c>
      <c r="I25" s="79">
        <v>16388</v>
      </c>
    </row>
    <row r="26" spans="2:17" x14ac:dyDescent="0.3">
      <c r="B26" s="15" t="s">
        <v>19</v>
      </c>
      <c r="C26" s="79">
        <v>8824.5265321959996</v>
      </c>
      <c r="D26" s="79">
        <v>9194.3377192900007</v>
      </c>
      <c r="E26" s="79">
        <v>9590</v>
      </c>
      <c r="F26" s="79">
        <v>10095</v>
      </c>
      <c r="G26" s="79">
        <v>10535</v>
      </c>
      <c r="H26" s="79">
        <v>10829</v>
      </c>
      <c r="I26" s="80">
        <v>11338</v>
      </c>
    </row>
    <row r="27" spans="2:17" x14ac:dyDescent="0.3">
      <c r="B27" s="15" t="s">
        <v>20</v>
      </c>
      <c r="C27" s="79">
        <v>1728.9751528699999</v>
      </c>
      <c r="D27" s="79">
        <v>2313.9261127399996</v>
      </c>
      <c r="E27" s="79">
        <v>2590</v>
      </c>
      <c r="F27" s="79">
        <v>3200</v>
      </c>
      <c r="G27" s="79">
        <v>3729.9999999999995</v>
      </c>
      <c r="H27" s="79">
        <v>4429.9999999999991</v>
      </c>
      <c r="I27" s="80">
        <v>5049.9999999999982</v>
      </c>
    </row>
    <row r="28" spans="2:17" x14ac:dyDescent="0.3">
      <c r="B28" s="15" t="s">
        <v>35</v>
      </c>
      <c r="C28" s="75">
        <v>2.500790325125523E-2</v>
      </c>
      <c r="D28" s="75">
        <v>4.5392628494904282E-2</v>
      </c>
      <c r="E28" s="75">
        <v>5.433887125132382E-2</v>
      </c>
      <c r="F28" s="75">
        <v>5.3809574401708297E-2</v>
      </c>
      <c r="G28" s="75">
        <v>5.6096020133840754E-2</v>
      </c>
      <c r="H28" s="75">
        <v>6.3751264604199553E-2</v>
      </c>
      <c r="I28" s="76">
        <v>6.5532153109826796E-2</v>
      </c>
    </row>
    <row r="29" spans="2:17" x14ac:dyDescent="0.3">
      <c r="B29" s="57" t="s">
        <v>36</v>
      </c>
      <c r="C29" s="75">
        <v>-1.501115910045942E-2</v>
      </c>
      <c r="D29" s="75">
        <v>-9.4009112435889056E-3</v>
      </c>
      <c r="E29" s="75">
        <v>-4.368234703450124E-3</v>
      </c>
      <c r="F29" s="75">
        <v>-1.3382825569212446E-2</v>
      </c>
      <c r="G29" s="75">
        <v>-1.6261155115662621E-2</v>
      </c>
      <c r="H29" s="75">
        <v>-1.5308757007654904E-2</v>
      </c>
      <c r="I29" s="76">
        <v>-1.7088362824464031E-2</v>
      </c>
    </row>
    <row r="30" spans="2:17" x14ac:dyDescent="0.3">
      <c r="B30" s="57" t="s">
        <v>37</v>
      </c>
      <c r="C30" s="75">
        <v>-4.0577822990817823E-2</v>
      </c>
      <c r="D30" s="75">
        <v>-3.9390335397411533E-2</v>
      </c>
      <c r="E30" s="75">
        <v>-2.3520225006728835E-2</v>
      </c>
      <c r="F30" s="75">
        <v>-2.5569682426683366E-2</v>
      </c>
      <c r="G30" s="75">
        <v>-2.7114731403088128E-2</v>
      </c>
      <c r="H30" s="75">
        <v>-2.5972666899486435E-2</v>
      </c>
      <c r="I30" s="76">
        <v>-2.5820612476055747E-2</v>
      </c>
    </row>
    <row r="31" spans="2:17" x14ac:dyDescent="0.3">
      <c r="B31" s="15" t="s">
        <v>38</v>
      </c>
      <c r="C31" s="75">
        <v>0.44441782629053683</v>
      </c>
      <c r="D31" s="75">
        <v>0.43989372119124737</v>
      </c>
      <c r="E31" s="75">
        <v>0.42463081308903183</v>
      </c>
      <c r="F31" s="75">
        <v>0.41343111571202479</v>
      </c>
      <c r="G31" s="75">
        <v>0.40871524251575697</v>
      </c>
      <c r="H31" s="75">
        <v>0.40215620555958692</v>
      </c>
      <c r="I31" s="76">
        <v>0.3942000276591443</v>
      </c>
      <c r="J31" s="38"/>
    </row>
    <row r="32" spans="2:17" x14ac:dyDescent="0.3">
      <c r="B32" s="15" t="s">
        <v>39</v>
      </c>
      <c r="C32" s="75">
        <v>0.3512413579038387</v>
      </c>
      <c r="D32" s="75">
        <v>0.34696538126002896</v>
      </c>
      <c r="E32" s="75">
        <v>0.33079087266083129</v>
      </c>
      <c r="F32" s="75">
        <v>0.31988436330806513</v>
      </c>
      <c r="G32" s="75">
        <v>0.31585284776915823</v>
      </c>
      <c r="H32" s="75">
        <v>0.31058999169182927</v>
      </c>
      <c r="I32" s="76">
        <v>0.3045231822948557</v>
      </c>
      <c r="J32" s="38"/>
    </row>
    <row r="33" spans="2:10" x14ac:dyDescent="0.3">
      <c r="B33" s="15" t="s">
        <v>40</v>
      </c>
      <c r="C33" s="75">
        <v>9.3176468386698102E-2</v>
      </c>
      <c r="D33" s="75">
        <v>9.2928339931218421E-2</v>
      </c>
      <c r="E33" s="75">
        <v>9.3839940428200569E-2</v>
      </c>
      <c r="F33" s="75">
        <v>9.3546752403959654E-2</v>
      </c>
      <c r="G33" s="75">
        <v>9.2862394746598756E-2</v>
      </c>
      <c r="H33" s="75">
        <v>9.1566213867757582E-2</v>
      </c>
      <c r="I33" s="76">
        <v>8.9676845364288618E-2</v>
      </c>
      <c r="J33" s="38"/>
    </row>
    <row r="34" spans="2:10" x14ac:dyDescent="0.3">
      <c r="B34" s="15" t="s">
        <v>21</v>
      </c>
      <c r="C34" s="79">
        <v>1987.2944540189146</v>
      </c>
      <c r="D34" s="95">
        <v>1970.438810285832</v>
      </c>
      <c r="E34" s="95">
        <v>2056.8200002983626</v>
      </c>
      <c r="F34" s="95">
        <v>2135.6700003098008</v>
      </c>
      <c r="G34" s="95">
        <v>2217.6500003216943</v>
      </c>
      <c r="H34" s="95">
        <v>2244.9600003256537</v>
      </c>
      <c r="I34" s="96">
        <v>2332.9500003384192</v>
      </c>
    </row>
    <row r="35" spans="2:10" x14ac:dyDescent="0.3">
      <c r="B35" s="15" t="s">
        <v>22</v>
      </c>
      <c r="C35" s="79">
        <v>14057.905555493609</v>
      </c>
      <c r="D35" s="95">
        <v>16445.839234055926</v>
      </c>
      <c r="E35" s="95">
        <v>18731.314361350738</v>
      </c>
      <c r="F35" s="95">
        <v>21366.44018649021</v>
      </c>
      <c r="G35" s="95">
        <v>24616.694037887944</v>
      </c>
      <c r="H35" s="95">
        <v>28101.729553561312</v>
      </c>
      <c r="I35" s="96">
        <v>32630.749309068979</v>
      </c>
    </row>
    <row r="36" spans="2:10" x14ac:dyDescent="0.3">
      <c r="B36" s="15" t="s">
        <v>46</v>
      </c>
      <c r="C36" s="95">
        <v>16045.200009512326</v>
      </c>
      <c r="D36" s="95">
        <v>18416.278044341758</v>
      </c>
      <c r="E36" s="95">
        <v>20788.134361649099</v>
      </c>
      <c r="F36" s="95">
        <v>23502.110186800011</v>
      </c>
      <c r="G36" s="95">
        <v>26834.344038209638</v>
      </c>
      <c r="H36" s="95">
        <v>30346.689553886965</v>
      </c>
      <c r="I36" s="96">
        <v>34963.699309407399</v>
      </c>
    </row>
    <row r="37" spans="2:10" x14ac:dyDescent="0.3">
      <c r="B37" s="15" t="s">
        <v>47</v>
      </c>
      <c r="C37" s="97">
        <v>6505.4583507774969</v>
      </c>
      <c r="D37" s="97">
        <v>8418.1478333333034</v>
      </c>
      <c r="E37" s="97">
        <v>10006.581964739742</v>
      </c>
      <c r="F37" s="97">
        <v>11471.098500358961</v>
      </c>
      <c r="G37" s="97">
        <v>13328.553793397714</v>
      </c>
      <c r="H37" s="97">
        <v>15263.290109020876</v>
      </c>
      <c r="I37" s="98">
        <v>18014.783491630424</v>
      </c>
    </row>
    <row r="38" spans="2:10" x14ac:dyDescent="0.3">
      <c r="B38" t="s">
        <v>43</v>
      </c>
      <c r="C38" s="99">
        <v>19360.489032709836</v>
      </c>
      <c r="D38" s="99">
        <v>22352.320507788001</v>
      </c>
      <c r="E38" s="99">
        <v>24831.648093305805</v>
      </c>
      <c r="F38" s="99">
        <v>28173.605465204029</v>
      </c>
      <c r="G38" s="99">
        <v>32043.58867859163</v>
      </c>
      <c r="H38" s="99">
        <v>36214.213700268927</v>
      </c>
      <c r="I38" s="99">
        <v>41500.444151552656</v>
      </c>
    </row>
    <row r="39" spans="2:10" x14ac:dyDescent="0.3">
      <c r="B39" t="s">
        <v>32</v>
      </c>
      <c r="C39" s="100">
        <v>-0.12849061474083537</v>
      </c>
      <c r="D39" s="100">
        <v>-8.682023508705336E-2</v>
      </c>
      <c r="E39" s="100">
        <v>-8.0201517441102724E-2</v>
      </c>
      <c r="F39" s="100">
        <v>-7.6246150572386692E-2</v>
      </c>
      <c r="G39" s="100">
        <v>-7.7290509559994058E-2</v>
      </c>
      <c r="H39" s="100">
        <v>-7.8259016989598723E-2</v>
      </c>
      <c r="I39" s="100">
        <v>-7.3266502924547533E-2</v>
      </c>
    </row>
    <row r="40" spans="2:10" x14ac:dyDescent="0.3">
      <c r="B40" t="s">
        <v>44</v>
      </c>
      <c r="C40" s="100">
        <v>-0.15622777516589123</v>
      </c>
      <c r="D40" s="100">
        <v>-0.11667003556385669</v>
      </c>
      <c r="E40" s="100">
        <v>-0.11032967202348996</v>
      </c>
      <c r="F40" s="100">
        <v>-0.10180875815335441</v>
      </c>
      <c r="G40" s="100">
        <v>-0.10429119596480671</v>
      </c>
      <c r="H40" s="100">
        <v>-0.10590613165307623</v>
      </c>
      <c r="I40" s="100">
        <v>-0.10051986097638131</v>
      </c>
    </row>
    <row r="41" spans="2:10" x14ac:dyDescent="0.3">
      <c r="B41" t="s">
        <v>45</v>
      </c>
      <c r="C41" s="94">
        <v>1379.4378536241775</v>
      </c>
      <c r="D41" s="94">
        <v>961.42931483666734</v>
      </c>
      <c r="E41" s="94">
        <v>1349.1292566339</v>
      </c>
      <c r="F41" s="94">
        <v>1416.6467562638754</v>
      </c>
      <c r="G41" s="94">
        <v>1431.2835854588589</v>
      </c>
      <c r="H41" s="94">
        <v>1403.7256776893469</v>
      </c>
      <c r="I41" s="94">
        <v>1450.4039825128893</v>
      </c>
    </row>
    <row r="42" spans="2:10" x14ac:dyDescent="0.3">
      <c r="B42" t="s">
        <v>23</v>
      </c>
      <c r="C42" s="94">
        <v>2756.4521310605414</v>
      </c>
      <c r="D42" s="94">
        <v>3039.0113485516908</v>
      </c>
      <c r="E42" s="94">
        <v>3427.1955909806329</v>
      </c>
      <c r="F42" s="94">
        <v>3783.9840479983027</v>
      </c>
      <c r="G42" s="94">
        <v>4168.9202610435032</v>
      </c>
      <c r="H42" s="94">
        <v>4549.6665988447112</v>
      </c>
      <c r="I42" s="94">
        <v>4897.1125971063548</v>
      </c>
    </row>
    <row r="43" spans="2:10" x14ac:dyDescent="0.3">
      <c r="B43" t="s">
        <v>24</v>
      </c>
      <c r="C43" s="94">
        <v>3.877346696709576</v>
      </c>
      <c r="D43" s="94">
        <v>3.8682960549547203</v>
      </c>
      <c r="E43" s="94">
        <v>3.957690721654898</v>
      </c>
      <c r="F43" s="94">
        <v>3.9576907216548975</v>
      </c>
      <c r="G43" s="94">
        <v>3.9576907216548984</v>
      </c>
      <c r="H43" s="94">
        <v>3.957690721654898</v>
      </c>
      <c r="I43" s="94">
        <v>3.9576907216548975</v>
      </c>
    </row>
  </sheetData>
  <sheetProtection algorithmName="SHA-512" hashValue="o4eKPnDhr6fZkGFVWrHEKtuJX4RGF22ofZD3idDQP5074DSIaSixj68GjE+BT2PXDXsLGZRCsciR6nFDEhusYw==" saltValue="0lzyaeP1VaMNDQl9hF8egg==" spinCount="100000" sheet="1" objects="1" scenarios="1" formatCells="0" formatColumns="0" formatRows="0" deleteColumns="0" deleteRows="0"/>
  <conditionalFormatting sqref="B18:I23 B12:C17 B25:I37 B4:I11">
    <cfRule type="expression" dxfId="21" priority="17">
      <formula>MOD(ROW(),2)=0</formula>
    </cfRule>
  </conditionalFormatting>
  <conditionalFormatting sqref="D12:I16">
    <cfRule type="expression" dxfId="20" priority="4">
      <formula>MOD(ROW(),2)=0</formula>
    </cfRule>
  </conditionalFormatting>
  <conditionalFormatting sqref="C24">
    <cfRule type="expression" dxfId="19" priority="3">
      <formula>MOD(ROW(),2)=0</formula>
    </cfRule>
  </conditionalFormatting>
  <conditionalFormatting sqref="D24:I24">
    <cfRule type="expression" dxfId="18" priority="2">
      <formula>MOD(ROW(),2)=0</formula>
    </cfRule>
  </conditionalFormatting>
  <conditionalFormatting sqref="B24">
    <cfRule type="expression" dxfId="17" priority="1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workbookViewId="0">
      <selection activeCell="C4" sqref="C4"/>
    </sheetView>
  </sheetViews>
  <sheetFormatPr defaultRowHeight="15" x14ac:dyDescent="0.3"/>
  <cols>
    <col min="2" max="2" width="32.85546875" customWidth="1"/>
  </cols>
  <sheetData>
    <row r="1" spans="1:9" s="10" customFormat="1" ht="34.5" customHeight="1" x14ac:dyDescent="0.3">
      <c r="A1" s="11"/>
    </row>
    <row r="2" spans="1:9" s="10" customFormat="1" x14ac:dyDescent="0.3">
      <c r="D2" s="6" t="s">
        <v>1</v>
      </c>
    </row>
    <row r="3" spans="1:9" ht="19.5" customHeight="1" x14ac:dyDescent="0.3">
      <c r="B3" t="s">
        <v>2</v>
      </c>
      <c r="C3" s="2">
        <f>SelectedYear</f>
        <v>2019</v>
      </c>
      <c r="D3">
        <f ca="1">MATCH(C3,lstYears,0)+1</f>
        <v>5</v>
      </c>
    </row>
    <row r="4" spans="1:9" ht="19.5" customHeight="1" x14ac:dyDescent="0.3">
      <c r="B4" t="s">
        <v>3</v>
      </c>
      <c r="C4" s="2">
        <f>C3-1</f>
        <v>2018</v>
      </c>
      <c r="D4">
        <f ca="1">MATCH(C4,lstYears,0)+1</f>
        <v>4</v>
      </c>
    </row>
    <row r="5" spans="1:9" ht="19.5" customHeight="1" x14ac:dyDescent="0.3"/>
    <row r="6" spans="1:9" ht="19.5" customHeight="1" thickBot="1" x14ac:dyDescent="0.35">
      <c r="B6" t="s">
        <v>1</v>
      </c>
      <c r="C6" s="1" t="e">
        <f ca="1">MATCH(C7,lstYears,0)+1</f>
        <v>#N/A</v>
      </c>
      <c r="D6" s="1">
        <f ca="1">MATCH(D7,lstYears,0)+1</f>
        <v>2</v>
      </c>
      <c r="E6" s="1">
        <f ca="1">MATCH(E7,lstYears,0)+1</f>
        <v>3</v>
      </c>
      <c r="F6" s="1">
        <f ca="1">MATCH(F7,lstYears,0)+1</f>
        <v>4</v>
      </c>
      <c r="G6" s="1">
        <f ca="1">MATCH(G7,lstYears,0)+1</f>
        <v>5</v>
      </c>
      <c r="I6">
        <f ca="1">COUNT(C6:G6)</f>
        <v>4</v>
      </c>
    </row>
    <row r="7" spans="1:9" ht="19.5" thickBot="1" x14ac:dyDescent="0.35">
      <c r="B7" s="7" t="s">
        <v>4</v>
      </c>
      <c r="C7" s="12">
        <f>D7-1</f>
        <v>2015</v>
      </c>
      <c r="D7" s="12">
        <f>E7-1</f>
        <v>2016</v>
      </c>
      <c r="E7" s="12">
        <f>F7-1</f>
        <v>2017</v>
      </c>
      <c r="F7" s="12">
        <f>G7-1</f>
        <v>2018</v>
      </c>
      <c r="G7" s="12">
        <f>C3</f>
        <v>2019</v>
      </c>
      <c r="H7" s="7"/>
    </row>
    <row r="8" spans="1:9" ht="19.5" customHeight="1" x14ac:dyDescent="0.3">
      <c r="A8">
        <f>MATCH(B8,'Macro Data Input'!$B$4:$B$23,0)</f>
        <v>1</v>
      </c>
      <c r="B8" t="str">
        <f>B15</f>
        <v>რეალური მთლიანი შიდა პროდუქტი</v>
      </c>
      <c r="C8" s="38" t="e">
        <f ca="1">IFERROR(INDEX('Macro Data Input'!$B$4:$I$50,$A8,C$6),NA())</f>
        <v>#N/A</v>
      </c>
      <c r="D8" s="38">
        <f ca="1">IFERROR(INDEX('Macro Data Input'!$B$4:$I$50,$A8,D$6),NA())</f>
        <v>2.8467447155707148E-2</v>
      </c>
      <c r="E8" s="38">
        <f ca="1">IFERROR(INDEX('Macro Data Input'!$B$4:$I$50,$A8,E$6),NA())</f>
        <v>4.9861637915590507E-2</v>
      </c>
      <c r="F8" s="38">
        <f ca="1">IFERROR(INDEX('Macro Data Input'!$B$4:$I$50,$A8,F$6),NA())</f>
        <v>5.1578632234786648E-2</v>
      </c>
      <c r="G8" s="38">
        <f ca="1">IFERROR(INDEX('Macro Data Input'!$B$4:$I$50,$A8,G$6),NA())</f>
        <v>5.520140691373987E-2</v>
      </c>
      <c r="H8" s="3">
        <f ca="1">IFERROR(G8-F8,"")</f>
        <v>3.6227746789532222E-3</v>
      </c>
    </row>
    <row r="9" spans="1:9" ht="19.5" customHeight="1" x14ac:dyDescent="0.3">
      <c r="A9">
        <f>MATCH(B9,'Macro Data Input'!$B$4:$B$47,0)</f>
        <v>3</v>
      </c>
      <c r="B9" t="str">
        <f>B17</f>
        <v>მშპ-ს დეფლატორი</v>
      </c>
      <c r="C9" s="38" t="e">
        <f ca="1">IFERROR(INDEX('Macro Data Input'!$B$4:$I$50,$A9,C$6),NA())</f>
        <v>#N/A</v>
      </c>
      <c r="D9" s="38">
        <f ca="1">IFERROR(INDEX('Macro Data Input'!$B$4:$I$50,$A9,D$6),NA())</f>
        <v>4.1800930755551802E-2</v>
      </c>
      <c r="E9" s="38">
        <f ca="1">IFERROR(INDEX('Macro Data Input'!$B$4:$I$50,$A9,E$6),NA())</f>
        <v>6.4949397111304874E-2</v>
      </c>
      <c r="F9" s="38">
        <f ca="1">IFERROR(INDEX('Macro Data Input'!$B$4:$I$50,$A9,F$6),NA())</f>
        <v>3.9216742455568943E-2</v>
      </c>
      <c r="G9" s="38">
        <f ca="1">IFERROR(INDEX('Macro Data Input'!$B$4:$I$50,$A9,G$6),NA())</f>
        <v>3.8398395080472492E-2</v>
      </c>
      <c r="H9" s="3">
        <f ca="1">IFERROR(G9-F9,"")</f>
        <v>-8.1834737509645095E-4</v>
      </c>
    </row>
    <row r="10" spans="1:9" ht="19.5" customHeight="1" x14ac:dyDescent="0.3">
      <c r="A10">
        <f>MATCH(B10,'Macro Data Input'!$B$4:$B$47,0)</f>
        <v>27</v>
      </c>
      <c r="B10" t="str">
        <f>B41</f>
        <v>ფისკალური ბალანსი (% მშპ-თან)</v>
      </c>
      <c r="C10" s="38" t="e">
        <f ca="1">IFERROR(INDEX('Macro Data Input'!$B$4:$I$50,$A10,C$6),NA())</f>
        <v>#N/A</v>
      </c>
      <c r="D10" s="38">
        <f ca="1">IFERROR(INDEX('Macro Data Input'!$B$4:$I$50,$A10,D$6),NA())</f>
        <v>-4.0577822990817823E-2</v>
      </c>
      <c r="E10" s="38">
        <f ca="1">IFERROR(INDEX('Macro Data Input'!$B$4:$I$50,$A10,E$6),NA())</f>
        <v>-3.9390335397411533E-2</v>
      </c>
      <c r="F10" s="38">
        <f ca="1">IFERROR(INDEX('Macro Data Input'!$B$4:$I$50,$A10,F$6),NA())</f>
        <v>-2.3520225006728835E-2</v>
      </c>
      <c r="G10" s="38">
        <f ca="1">IFERROR(INDEX('Macro Data Input'!$B$4:$I$50,$A10,G$6),NA())</f>
        <v>-2.5569682426683366E-2</v>
      </c>
      <c r="H10" s="3">
        <f ca="1">IFERROR(G10-F10,"")</f>
        <v>-2.0494574199545305E-3</v>
      </c>
    </row>
    <row r="11" spans="1:9" ht="19.5" customHeight="1" x14ac:dyDescent="0.3">
      <c r="A11">
        <f>MATCH(B11,'Macro Data Input'!$B$4:$B$47,0)</f>
        <v>36</v>
      </c>
      <c r="B11" t="str">
        <f>B50</f>
        <v>მიმდინარე ანგარიშის ბალანსი (% მშპ-თან)</v>
      </c>
      <c r="C11" s="38" t="e">
        <f ca="1">IFERROR(INDEX('Macro Data Input'!$B$4:$I$50,$A11,C$6),NA())</f>
        <v>#N/A</v>
      </c>
      <c r="D11" s="38">
        <f ca="1">IFERROR(INDEX('Macro Data Input'!$B$4:$I$50,$A11,D$6),NA())</f>
        <v>-0.12849061474083537</v>
      </c>
      <c r="E11" s="38">
        <f ca="1">IFERROR(INDEX('Macro Data Input'!$B$4:$I$50,$A11,E$6),NA())</f>
        <v>-8.682023508705336E-2</v>
      </c>
      <c r="F11" s="38">
        <f ca="1">IFERROR(INDEX('Macro Data Input'!$B$4:$I$50,$A11,F$6),NA())</f>
        <v>-8.0201517441102724E-2</v>
      </c>
      <c r="G11" s="38">
        <f ca="1">IFERROR(INDEX('Macro Data Input'!$B$4:$I$50,$A11,G$6),NA())</f>
        <v>-7.6246150572386692E-2</v>
      </c>
      <c r="H11" s="3">
        <f ca="1">IFERROR(G11-F11,"")</f>
        <v>3.9553668687160315E-3</v>
      </c>
    </row>
    <row r="12" spans="1:9" ht="19.5" customHeight="1" x14ac:dyDescent="0.3">
      <c r="A12">
        <f>MATCH(B12,'Macro Data Input'!$B$4:$B$47,0)</f>
        <v>7</v>
      </c>
      <c r="B12" t="str">
        <f>B21</f>
        <v>მშპ ერთ სულ მოსახლეზე დოლარი</v>
      </c>
      <c r="C12" s="53" t="e">
        <f ca="1">IFERROR(INDEX('Macro Data Input'!$B$4:$I$50,$A12,C$6),NA())</f>
        <v>#N/A</v>
      </c>
      <c r="D12" s="53">
        <f ca="1">IFERROR(INDEX('Macro Data Input'!$B$4:$I$50,$A12,D$6),NA())</f>
        <v>3869.6943350549873</v>
      </c>
      <c r="E12" s="53">
        <f ca="1">IFERROR(INDEX('Macro Data Input'!$B$4:$I$50,$A12,E$6),NA())</f>
        <v>4083.4959876057255</v>
      </c>
      <c r="F12" s="53">
        <f ca="1">IFERROR(INDEX('Macro Data Input'!$B$4:$I$50,$A12,F$6),NA())</f>
        <v>4544.7710213970695</v>
      </c>
      <c r="G12" s="53">
        <f ca="1">IFERROR(INDEX('Macro Data Input'!$B$4:$I$50,$A12,G$6),NA())</f>
        <v>5036.1532353557104</v>
      </c>
      <c r="H12" s="3">
        <f t="shared" ref="H12" ca="1" si="0">IFERROR(G12/F12-1,"")</f>
        <v>0.10812034569952633</v>
      </c>
    </row>
    <row r="13" spans="1:9" ht="15.75" thickBot="1" x14ac:dyDescent="0.35"/>
    <row r="14" spans="1:9" ht="19.5" thickBot="1" x14ac:dyDescent="0.35">
      <c r="B14" s="7" t="s">
        <v>5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IF('Macro Data Input'!B4=0,"",'Macro Data Input'!B4)</f>
        <v>რეალური მთლიანი შიდა პროდუქტი</v>
      </c>
      <c r="C15" t="e">
        <f ca="1">IF(B15="",NA(),IFERROR(INDEX('Macro Data Input'!$B$4:$I$41,$A15,C$6),NA()))</f>
        <v>#N/A</v>
      </c>
      <c r="D15">
        <f ca="1">IF(B15="",NA(),IFERROR(INDEX('Macro Data Input'!$B$4:$I$41,$A15,D$6),NA()))</f>
        <v>2.8467447155707148E-2</v>
      </c>
      <c r="E15">
        <f ca="1">IF(B15="",NA(),IFERROR(INDEX('Macro Data Input'!$B$4:$I$41,$A15,E$6),NA()))</f>
        <v>4.9861637915590507E-2</v>
      </c>
      <c r="F15">
        <f ca="1">IF(B15="",NA(),IFERROR(INDEX('Macro Data Input'!$B$4:$I$41,$A15,F$6),NA()))</f>
        <v>5.1578632234786648E-2</v>
      </c>
      <c r="G15">
        <f ca="1">IF(B15="",NA(),IFERROR(INDEX('Macro Data Input'!$B$4:$I$41,$A15,G$6),NA()))</f>
        <v>5.520140691373987E-2</v>
      </c>
    </row>
    <row r="16" spans="1:9" ht="19.5" customHeight="1" x14ac:dyDescent="0.3">
      <c r="A16">
        <f>ROWS($B$15:B16)</f>
        <v>2</v>
      </c>
      <c r="B16" t="str">
        <f>IF('Macro Data Input'!B5=0,"",'Macro Data Input'!B5)</f>
        <v>სამომხმარებლო ფასების ინფლაცია</v>
      </c>
      <c r="C16" t="e">
        <f ca="1">IF(B16="",NA(),IFERROR(INDEX('Macro Data Input'!$B$4:$I$41,$A16,C$6),NA()))</f>
        <v>#N/A</v>
      </c>
      <c r="D16">
        <f ca="1">IF(B16="",NA(),IFERROR(INDEX('Macro Data Input'!$B$4:$I$41,$A16,D$6),NA()))</f>
        <v>2.134601424737359E-2</v>
      </c>
      <c r="E16">
        <f ca="1">IF(B16="",NA(),IFERROR(INDEX('Macro Data Input'!$B$4:$I$41,$A16,E$6),NA()))</f>
        <v>6.0353172527211729E-2</v>
      </c>
      <c r="F16">
        <f ca="1">IF(B16="",NA(),IFERROR(INDEX('Macro Data Input'!$B$4:$I$41,$A16,F$6),NA()))</f>
        <v>3.0659652823762151E-2</v>
      </c>
      <c r="G16">
        <f ca="1">IF(B16="",NA(),IFERROR(INDEX('Macro Data Input'!$B$4:$I$41,$A16,G$6),NA()))</f>
        <v>3.1905585318725116E-2</v>
      </c>
    </row>
    <row r="17" spans="1:7" ht="19.5" customHeight="1" x14ac:dyDescent="0.3">
      <c r="A17">
        <f>ROWS($B$15:B17)</f>
        <v>3</v>
      </c>
      <c r="B17" t="str">
        <f>IF('Macro Data Input'!B6=0,"",'Macro Data Input'!B6)</f>
        <v>მშპ-ს დეფლატორი</v>
      </c>
      <c r="C17" t="e">
        <f ca="1">IF(B17="",NA(),IFERROR(INDEX('Macro Data Input'!$B$4:$I$41,$A17,C$6),NA()))</f>
        <v>#N/A</v>
      </c>
      <c r="D17">
        <f ca="1">IF(B17="",NA(),IFERROR(INDEX('Macro Data Input'!$B$4:$I$41,$A17,D$6),NA()))</f>
        <v>4.1800930755551802E-2</v>
      </c>
      <c r="E17">
        <f ca="1">IF(B17="",NA(),IFERROR(INDEX('Macro Data Input'!$B$4:$I$41,$A17,E$6),NA()))</f>
        <v>6.4949397111304874E-2</v>
      </c>
      <c r="F17">
        <f ca="1">IF(B17="",NA(),IFERROR(INDEX('Macro Data Input'!$B$4:$I$41,$A17,F$6),NA()))</f>
        <v>3.9216742455568943E-2</v>
      </c>
      <c r="G17">
        <f ca="1">IF(B17="",NA(),IFERROR(INDEX('Macro Data Input'!$B$4:$I$41,$A17,G$6),NA()))</f>
        <v>3.8398395080472492E-2</v>
      </c>
    </row>
    <row r="18" spans="1:7" ht="19.5" customHeight="1" x14ac:dyDescent="0.3">
      <c r="A18">
        <f>ROWS($B$15:B18)</f>
        <v>4</v>
      </c>
      <c r="B18" t="str">
        <f>IF('Macro Data Input'!B7=0,"",'Macro Data Input'!B7)</f>
        <v>ნომინალური მშპ მლნ ლარი</v>
      </c>
      <c r="C18" t="e">
        <f ca="1">IF(B18="",NA(),IFERROR(INDEX('Macro Data Input'!$B$4:$I$41,$A18,C$6),NA()))</f>
        <v>#N/A</v>
      </c>
      <c r="D18">
        <f ca="1">IF(B18="",NA(),IFERROR(INDEX('Macro Data Input'!$B$4:$I$41,$A18,D$6),NA()))</f>
        <v>34028.452192899844</v>
      </c>
      <c r="E18">
        <f ca="1">IF(B18="",NA(),IFERROR(INDEX('Macro Data Input'!$B$4:$I$41,$A18,E$6),NA()))</f>
        <v>38042.216213230575</v>
      </c>
      <c r="F18">
        <f ca="1">IF(B18="",NA(),IFERROR(INDEX('Macro Data Input'!$B$4:$I$41,$A18,F$6),NA()))</f>
        <v>41562.259973770422</v>
      </c>
      <c r="G18">
        <f ca="1">IF(B18="",NA(),IFERROR(INDEX('Macro Data Input'!$B$4:$I$41,$A18,G$6),NA()))</f>
        <v>45540.86476036418</v>
      </c>
    </row>
    <row r="19" spans="1:7" ht="19.5" customHeight="1" x14ac:dyDescent="0.3">
      <c r="A19">
        <f>ROWS($B$15:B19)</f>
        <v>5</v>
      </c>
      <c r="B19" t="str">
        <f>IF('Macro Data Input'!B8=0,"",'Macro Data Input'!B8)</f>
        <v>ნომინალური მშპ მლნ აშშ დოლარი</v>
      </c>
      <c r="C19" t="e">
        <f ca="1">IF(B19="",NA(),IFERROR(INDEX('Macro Data Input'!$B$4:$I$41,$A19,C$6),NA()))</f>
        <v>#N/A</v>
      </c>
      <c r="D19">
        <f ca="1">IF(B19="",NA(),IFERROR(INDEX('Macro Data Input'!$B$4:$I$41,$A19,D$6),NA()))</f>
        <v>14396.810804138575</v>
      </c>
      <c r="E19">
        <f ca="1">IF(B19="",NA(),IFERROR(INDEX('Macro Data Input'!$B$4:$I$41,$A19,E$6),NA()))</f>
        <v>15183.254781115609</v>
      </c>
      <c r="F19">
        <f ca="1">IF(B19="",NA(),IFERROR(INDEX('Macro Data Input'!$B$4:$I$41,$A19,F$6),NA()))</f>
        <v>16898.367611758586</v>
      </c>
      <c r="G19">
        <f ca="1">IF(B19="",NA(),IFERROR(INDEX('Macro Data Input'!$B$4:$I$41,$A19,G$6),NA()))</f>
        <v>18725.424959699601</v>
      </c>
    </row>
    <row r="20" spans="1:7" ht="19.5" customHeight="1" x14ac:dyDescent="0.3">
      <c r="A20">
        <f>ROWS($B$15:B20)</f>
        <v>6</v>
      </c>
      <c r="B20" t="str">
        <f>IF('Macro Data Input'!B9=0,"",'Macro Data Input'!B9)</f>
        <v>მშპ ერთ სულ მოსახლეზე ლარი</v>
      </c>
      <c r="C20" t="e">
        <f ca="1">IF(B20="",NA(),IFERROR(INDEX('Macro Data Input'!$B$4:$I$41,$A20,C$6),NA()))</f>
        <v>#N/A</v>
      </c>
      <c r="D20">
        <f ca="1">IF(B20="",NA(),IFERROR(INDEX('Macro Data Input'!$B$4:$I$41,$A20,D$6),NA()))</f>
        <v>9146.449895952006</v>
      </c>
      <c r="E20">
        <f ca="1">IF(B20="",NA(),IFERROR(INDEX('Macro Data Input'!$B$4:$I$41,$A20,E$6),NA()))</f>
        <v>10231.352862468553</v>
      </c>
      <c r="F20">
        <f ca="1">IF(B20="",NA(),IFERROR(INDEX('Macro Data Input'!$B$4:$I$41,$A20,F$6),NA()))</f>
        <v>11178.059268939385</v>
      </c>
      <c r="G20">
        <f ca="1">IF(B20="",NA(),IFERROR(INDEX('Macro Data Input'!$B$4:$I$41,$A20,G$6),NA()))</f>
        <v>12248.094443645901</v>
      </c>
    </row>
    <row r="21" spans="1:7" ht="19.5" customHeight="1" x14ac:dyDescent="0.3">
      <c r="A21">
        <f>ROWS($B$15:B21)</f>
        <v>7</v>
      </c>
      <c r="B21" t="str">
        <f>IF('Macro Data Input'!B10=0,"",'Macro Data Input'!B10)</f>
        <v>მშპ ერთ სულ მოსახლეზე დოლარი</v>
      </c>
      <c r="C21" t="e">
        <f ca="1">IF(B21="",NA(),IFERROR(INDEX('Macro Data Input'!$B$4:$I$41,$A21,C$6),NA()))</f>
        <v>#N/A</v>
      </c>
      <c r="D21">
        <f ca="1">IF(B21="",NA(),IFERROR(INDEX('Macro Data Input'!$B$4:$I$41,$A21,D$6),NA()))</f>
        <v>3869.6943350549873</v>
      </c>
      <c r="E21">
        <f ca="1">IF(B21="",NA(),IFERROR(INDEX('Macro Data Input'!$B$4:$I$41,$A21,E$6),NA()))</f>
        <v>4083.4959876057255</v>
      </c>
      <c r="F21">
        <f ca="1">IF(B21="",NA(),IFERROR(INDEX('Macro Data Input'!$B$4:$I$41,$A21,F$6),NA()))</f>
        <v>4544.7710213970695</v>
      </c>
      <c r="G21">
        <f ca="1">IF(B21="",NA(),IFERROR(INDEX('Macro Data Input'!$B$4:$I$41,$A21,G$6),NA()))</f>
        <v>5036.1532353557104</v>
      </c>
    </row>
    <row r="22" spans="1:7" ht="19.5" customHeight="1" x14ac:dyDescent="0.3">
      <c r="A22">
        <f>ROWS($B$15:B22)</f>
        <v>8</v>
      </c>
      <c r="B22" t="str">
        <f>IF('Macro Data Input'!B11=0,"",'Macro Data Input'!B11)</f>
        <v>აბსორბცია</v>
      </c>
      <c r="C22" t="e">
        <f ca="1">IF(B22="",NA(),IFERROR(INDEX('Macro Data Input'!$B$4:$I$41,$A22,C$6),NA()))</f>
        <v>#N/A</v>
      </c>
      <c r="D22">
        <f ca="1">IF(B22="",NA(),IFERROR(INDEX('Macro Data Input'!$B$4:$I$41,$A22,D$6),NA()))</f>
        <v>39378.104101726109</v>
      </c>
      <c r="E22">
        <f ca="1">IF(B22="",NA(),IFERROR(INDEX('Macro Data Input'!$B$4:$I$41,$A22,E$6),NA()))</f>
        <v>42514.966077312478</v>
      </c>
      <c r="F22">
        <f ca="1">IF(B22="",NA(),IFERROR(INDEX('Macro Data Input'!$B$4:$I$41,$A22,F$6),NA()))</f>
        <v>46176.076927444927</v>
      </c>
      <c r="G22">
        <f ca="1">IF(B22="",NA(),IFERROR(INDEX('Macro Data Input'!$B$4:$I$41,$A22,G$6),NA()))</f>
        <v>50200.361057944341</v>
      </c>
    </row>
    <row r="23" spans="1:7" ht="19.5" customHeight="1" x14ac:dyDescent="0.3">
      <c r="A23">
        <f>ROWS($B$15:B23)</f>
        <v>9</v>
      </c>
      <c r="B23" t="str">
        <f>IF('Macro Data Input'!B12=0,"",'Macro Data Input'!B12)</f>
        <v>მოხმარება</v>
      </c>
      <c r="C23" t="e">
        <f ca="1">IF(B23="",NA(),IFERROR(INDEX('Macro Data Input'!$B$4:$I$41,$A23,C$6),NA()))</f>
        <v>#N/A</v>
      </c>
      <c r="D23">
        <f ca="1">IF(B23="",NA(),IFERROR(INDEX('Macro Data Input'!$B$4:$I$41,$A23,D$6),NA()))</f>
        <v>28241.538294014317</v>
      </c>
      <c r="E23">
        <f ca="1">IF(B23="",NA(),IFERROR(INDEX('Macro Data Input'!$B$4:$I$41,$A23,E$6),NA()))</f>
        <v>30381.660220910831</v>
      </c>
      <c r="F23">
        <f ca="1">IF(B23="",NA(),IFERROR(INDEX('Macro Data Input'!$B$4:$I$41,$A23,F$6),NA()))</f>
        <v>32640.249820460467</v>
      </c>
      <c r="G23">
        <f ca="1">IF(B23="",NA(),IFERROR(INDEX('Macro Data Input'!$B$4:$I$41,$A23,G$6),NA()))</f>
        <v>34832.869264499685</v>
      </c>
    </row>
    <row r="24" spans="1:7" ht="19.5" customHeight="1" x14ac:dyDescent="0.3">
      <c r="A24">
        <f>ROWS($B$15:B24)</f>
        <v>10</v>
      </c>
      <c r="B24" t="str">
        <f>IF('Macro Data Input'!B13=0,"",'Macro Data Input'!B13)</f>
        <v>კერძო</v>
      </c>
      <c r="C24" t="e">
        <f ca="1">IF(B24="",NA(),IFERROR(INDEX('Macro Data Input'!$B$4:$I$41,$A24,C$6),NA()))</f>
        <v>#N/A</v>
      </c>
      <c r="D24">
        <f ca="1">IF(B24="",NA(),IFERROR(INDEX('Macro Data Input'!$B$4:$I$41,$A24,D$6),NA()))</f>
        <v>25094.636029794321</v>
      </c>
      <c r="E24">
        <f ca="1">IF(B24="",NA(),IFERROR(INDEX('Macro Data Input'!$B$4:$I$41,$A24,E$6),NA()))</f>
        <v>27197.006847520828</v>
      </c>
      <c r="F24">
        <f ca="1">IF(B24="",NA(),IFERROR(INDEX('Macro Data Input'!$B$4:$I$41,$A24,F$6),NA()))</f>
        <v>29425.249820460467</v>
      </c>
      <c r="G24">
        <f ca="1">IF(B24="",NA(),IFERROR(INDEX('Macro Data Input'!$B$4:$I$41,$A24,G$6),NA()))</f>
        <v>31522.869264499681</v>
      </c>
    </row>
    <row r="25" spans="1:7" ht="19.5" customHeight="1" x14ac:dyDescent="0.3">
      <c r="A25">
        <f>ROWS($B$15:B25)</f>
        <v>11</v>
      </c>
      <c r="B25" t="str">
        <f>IF('Macro Data Input'!B14=0,"",'Macro Data Input'!B14)</f>
        <v>სახელმწიფო</v>
      </c>
      <c r="C25" t="e">
        <f ca="1">IF(B25="",NA(),IFERROR(INDEX('Macro Data Input'!$B$4:$I$41,$A25,C$6),NA()))</f>
        <v>#N/A</v>
      </c>
      <c r="D25">
        <f ca="1">IF(B25="",NA(),IFERROR(INDEX('Macro Data Input'!$B$4:$I$41,$A25,D$6),NA()))</f>
        <v>3146.9022642199998</v>
      </c>
      <c r="E25">
        <f ca="1">IF(B25="",NA(),IFERROR(INDEX('Macro Data Input'!$B$4:$I$41,$A25,E$6),NA()))</f>
        <v>3184.6533733899996</v>
      </c>
      <c r="F25">
        <f ca="1">IF(B25="",NA(),IFERROR(INDEX('Macro Data Input'!$B$4:$I$41,$A25,F$6),NA()))</f>
        <v>3215</v>
      </c>
      <c r="G25">
        <f ca="1">IF(B25="",NA(),IFERROR(INDEX('Macro Data Input'!$B$4:$I$41,$A25,G$6),NA()))</f>
        <v>3310</v>
      </c>
    </row>
    <row r="26" spans="1:7" ht="19.5" customHeight="1" x14ac:dyDescent="0.3">
      <c r="A26">
        <f>ROWS($B$15:B26)</f>
        <v>12</v>
      </c>
      <c r="B26" t="str">
        <f>IF('Macro Data Input'!B15=0,"",'Macro Data Input'!B15)</f>
        <v>ინვესტიციები</v>
      </c>
      <c r="C26" t="e">
        <f ca="1">IF(B26="",NA(),IFERROR(INDEX('Macro Data Input'!$B$4:$I$41,$A26,C$6),NA()))</f>
        <v>#N/A</v>
      </c>
      <c r="D26">
        <f ca="1">IF(B26="",NA(),IFERROR(INDEX('Macro Data Input'!$B$4:$I$41,$A26,D$6),NA()))</f>
        <v>11136.565807711791</v>
      </c>
      <c r="E26">
        <f ca="1">IF(B26="",NA(),IFERROR(INDEX('Macro Data Input'!$B$4:$I$41,$A26,E$6),NA()))</f>
        <v>12133.305856401648</v>
      </c>
      <c r="F26">
        <f ca="1">IF(B26="",NA(),IFERROR(INDEX('Macro Data Input'!$B$4:$I$41,$A26,F$6),NA()))</f>
        <v>13535.827106984456</v>
      </c>
      <c r="G26">
        <f ca="1">IF(B26="",NA(),IFERROR(INDEX('Macro Data Input'!$B$4:$I$41,$A26,G$6),NA()))</f>
        <v>15367.491793444657</v>
      </c>
    </row>
    <row r="27" spans="1:7" ht="19.5" customHeight="1" x14ac:dyDescent="0.3">
      <c r="A27">
        <f>ROWS($B$15:B27)</f>
        <v>13</v>
      </c>
      <c r="B27" t="str">
        <f>IF('Macro Data Input'!B16=0,"",'Macro Data Input'!B16)</f>
        <v>კერძო</v>
      </c>
      <c r="C27" t="e">
        <f ca="1">IF(B27="",NA(),IFERROR(INDEX('Macro Data Input'!$B$4:$I$41,$A27,C$6),NA()))</f>
        <v>#N/A</v>
      </c>
      <c r="D27">
        <f ca="1">IF(B27="",NA(),IFERROR(INDEX('Macro Data Input'!$B$4:$I$41,$A27,D$6),NA()))</f>
        <v>9407.5906548417915</v>
      </c>
      <c r="E27">
        <f ca="1">IF(B27="",NA(),IFERROR(INDEX('Macro Data Input'!$B$4:$I$41,$A27,E$6),NA()))</f>
        <v>9819.3797436616478</v>
      </c>
      <c r="F27">
        <f ca="1">IF(B27="",NA(),IFERROR(INDEX('Macro Data Input'!$B$4:$I$41,$A27,F$6),NA()))</f>
        <v>10945.827106984454</v>
      </c>
      <c r="G27">
        <f ca="1">IF(B27="",NA(),IFERROR(INDEX('Macro Data Input'!$B$4:$I$41,$A27,G$6),NA()))</f>
        <v>12167.491793444657</v>
      </c>
    </row>
    <row r="28" spans="1:7" ht="19.5" customHeight="1" x14ac:dyDescent="0.3">
      <c r="A28">
        <f>ROWS($B$15:B28)</f>
        <v>14</v>
      </c>
      <c r="B28" t="str">
        <f>IF('Macro Data Input'!B17=0,"",'Macro Data Input'!B17)</f>
        <v>სახელმწიფო</v>
      </c>
      <c r="C28" t="e">
        <f ca="1">IF(B28="",NA(),IFERROR(INDEX('Macro Data Input'!$B$4:$I$41,$A28,C$6),NA()))</f>
        <v>#N/A</v>
      </c>
      <c r="D28">
        <f ca="1">IF(B28="",NA(),IFERROR(INDEX('Macro Data Input'!$B$4:$I$41,$A28,D$6),NA()))</f>
        <v>1728.9751528699999</v>
      </c>
      <c r="E28">
        <f ca="1">IF(B28="",NA(),IFERROR(INDEX('Macro Data Input'!$B$4:$I$41,$A28,E$6),NA()))</f>
        <v>2313.9261127399996</v>
      </c>
      <c r="F28">
        <f ca="1">IF(B28="",NA(),IFERROR(INDEX('Macro Data Input'!$B$4:$I$41,$A28,F$6),NA()))</f>
        <v>2590</v>
      </c>
      <c r="G28">
        <f ca="1">IF(B28="",NA(),IFERROR(INDEX('Macro Data Input'!$B$4:$I$41,$A28,G$6),NA()))</f>
        <v>3200</v>
      </c>
    </row>
    <row r="29" spans="1:7" ht="19.5" customHeight="1" x14ac:dyDescent="0.3">
      <c r="A29">
        <f>ROWS($B$15:B29)</f>
        <v>15</v>
      </c>
      <c r="B29" t="str">
        <f>IF('Macro Data Input'!B18=0,"",'Macro Data Input'!B18)</f>
        <v>მთლიანი ეროვნული დანაზოგები</v>
      </c>
      <c r="C29" t="e">
        <f ca="1">IF(B29="",NA(),IFERROR(INDEX('Macro Data Input'!$B$4:$I$41,$A29,C$6),NA()))</f>
        <v>#N/A</v>
      </c>
      <c r="D29">
        <f ca="1">IF(B29="",NA(),IFERROR(INDEX('Macro Data Input'!$B$4:$I$41,$A29,D$6),NA()))</f>
        <v>6737.785067083656</v>
      </c>
      <c r="E29">
        <f ca="1">IF(B29="",NA(),IFERROR(INDEX('Macro Data Input'!$B$4:$I$41,$A29,E$6),NA()))</f>
        <v>8803.1955215720664</v>
      </c>
      <c r="F29">
        <f ca="1">IF(B29="",NA(),IFERROR(INDEX('Macro Data Input'!$B$4:$I$41,$A29,F$6),NA()))</f>
        <v>10617.353501847228</v>
      </c>
      <c r="G29">
        <f ca="1">IF(B29="",NA(),IFERROR(INDEX('Macro Data Input'!$B$4:$I$41,$A29,G$6),NA()))</f>
        <v>12416.338466462068</v>
      </c>
    </row>
    <row r="30" spans="1:7" ht="19.5" customHeight="1" x14ac:dyDescent="0.3">
      <c r="A30">
        <f>ROWS($B$15:B30)</f>
        <v>16</v>
      </c>
      <c r="B30" t="str">
        <f>IF('Macro Data Input'!B19=0,"",'Macro Data Input'!B19)</f>
        <v>სახელმწიფო</v>
      </c>
      <c r="C30" t="e">
        <f ca="1">IF(B30="",NA(),IFERROR(INDEX('Macro Data Input'!$B$4:$I$41,$A30,C$6),NA()))</f>
        <v>#N/A</v>
      </c>
      <c r="D30">
        <f ca="1">IF(B30="",NA(),IFERROR(INDEX('Macro Data Input'!$B$4:$I$41,$A30,D$6),NA()))</f>
        <v>850.98024023000312</v>
      </c>
      <c r="E30">
        <f ca="1">IF(B30="",NA(),IFERROR(INDEX('Macro Data Input'!$B$4:$I$41,$A30,E$6),NA()))</f>
        <v>1726.8361876899999</v>
      </c>
      <c r="F30">
        <f ca="1">IF(B30="",NA(),IFERROR(INDEX('Macro Data Input'!$B$4:$I$41,$A30,F$6),NA()))</f>
        <v>2258.44629362876</v>
      </c>
      <c r="G30">
        <f ca="1">IF(B30="",NA(),IFERROR(INDEX('Macro Data Input'!$B$4:$I$41,$A30,G$6),NA()))</f>
        <v>2450.5345506409521</v>
      </c>
    </row>
    <row r="31" spans="1:7" ht="19.5" customHeight="1" x14ac:dyDescent="0.3">
      <c r="A31">
        <f>ROWS($B$15:B31)</f>
        <v>17</v>
      </c>
      <c r="B31" t="str">
        <f>IF('Macro Data Input'!B20=0,"",'Macro Data Input'!B20)</f>
        <v>კერძო</v>
      </c>
      <c r="C31" t="e">
        <f ca="1">IF(B31="",NA(),IFERROR(INDEX('Macro Data Input'!$B$4:$I$41,$A31,C$6),NA()))</f>
        <v>#N/A</v>
      </c>
      <c r="D31">
        <f ca="1">IF(B31="",NA(),IFERROR(INDEX('Macro Data Input'!$B$4:$I$41,$A31,D$6),NA()))</f>
        <v>5886.8048268536531</v>
      </c>
      <c r="E31">
        <f ca="1">IF(B31="",NA(),IFERROR(INDEX('Macro Data Input'!$B$4:$I$41,$A31,E$6),NA()))</f>
        <v>7076.3593338820665</v>
      </c>
      <c r="F31">
        <f ca="1">IF(B31="",NA(),IFERROR(INDEX('Macro Data Input'!$B$4:$I$41,$A31,F$6),NA()))</f>
        <v>8358.9072082184684</v>
      </c>
      <c r="G31">
        <f ca="1">IF(B31="",NA(),IFERROR(INDEX('Macro Data Input'!$B$4:$I$41,$A31,G$6),NA()))</f>
        <v>9965.8039158211159</v>
      </c>
    </row>
    <row r="32" spans="1:7" ht="19.5" customHeight="1" x14ac:dyDescent="0.3">
      <c r="A32">
        <f>ROWS($B$15:B32)</f>
        <v>18</v>
      </c>
      <c r="B32" t="str">
        <f>IF('Macro Data Input'!B21=0,"",'Macro Data Input'!B21)</f>
        <v>შემოსავლები და გრანტები</v>
      </c>
      <c r="C32" t="e">
        <f ca="1">IF(B32="",NA(),IFERROR(INDEX('Macro Data Input'!$B$4:$I$41,$A32,C$6),NA()))</f>
        <v>#N/A</v>
      </c>
      <c r="D32">
        <f ca="1">IF(B32="",NA(),IFERROR(INDEX('Macro Data Input'!$B$4:$I$41,$A32,D$6),NA()))</f>
        <v>9675.5067724260007</v>
      </c>
      <c r="E32">
        <f ca="1">IF(B32="",NA(),IFERROR(INDEX('Macro Data Input'!$B$4:$I$41,$A32,E$6),NA()))</f>
        <v>10921.173906980001</v>
      </c>
      <c r="F32">
        <f ca="1">IF(B32="",NA(),IFERROR(INDEX('Macro Data Input'!$B$4:$I$41,$A32,F$6),NA()))</f>
        <v>11848.44629362876</v>
      </c>
      <c r="G32">
        <f ca="1">IF(B32="",NA(),IFERROR(INDEX('Macro Data Input'!$B$4:$I$41,$A32,G$6),NA()))</f>
        <v>12545.534550640952</v>
      </c>
    </row>
    <row r="33" spans="1:7" ht="19.5" customHeight="1" x14ac:dyDescent="0.3">
      <c r="A33">
        <f>ROWS($B$15:B33)</f>
        <v>19</v>
      </c>
      <c r="B33" t="str">
        <f>IF('Macro Data Input'!B22=0,"",'Macro Data Input'!B22)</f>
        <v>საგადასახადო შემოსავლები</v>
      </c>
      <c r="C33" t="e">
        <f ca="1">IF(B33="",NA(),IFERROR(INDEX('Macro Data Input'!$B$4:$I$41,$A33,C$6),NA()))</f>
        <v>#N/A</v>
      </c>
      <c r="D33">
        <f ca="1">IF(B33="",NA(),IFERROR(INDEX('Macro Data Input'!$B$4:$I$41,$A33,D$6),NA()))</f>
        <v>8786.0653158799996</v>
      </c>
      <c r="E33">
        <f ca="1">IF(B33="",NA(),IFERROR(INDEX('Macro Data Input'!$B$4:$I$41,$A33,E$6),NA()))</f>
        <v>9778.94832933</v>
      </c>
      <c r="F33">
        <f ca="1">IF(B33="",NA(),IFERROR(INDEX('Macro Data Input'!$B$4:$I$41,$A33,F$6),NA()))</f>
        <v>10574.560959969265</v>
      </c>
      <c r="G33">
        <f ca="1">IF(B33="",NA(),IFERROR(INDEX('Macro Data Input'!$B$4:$I$41,$A33,G$6),NA()))</f>
        <v>11331.000823772778</v>
      </c>
    </row>
    <row r="34" spans="1:7" ht="19.5" customHeight="1" x14ac:dyDescent="0.3">
      <c r="A34">
        <f>ROWS($B$15:B34)</f>
        <v>20</v>
      </c>
      <c r="B34" t="str">
        <f>IF('Macro Data Input'!B23=0,"",'Macro Data Input'!B23)</f>
        <v>პირდაპირი გადასახადები</v>
      </c>
      <c r="C34" t="e">
        <f ca="1">IF(B34="",NA(),IFERROR(INDEX('Macro Data Input'!$B$4:$I$41,$A34,C$6),NA()))</f>
        <v>#N/A</v>
      </c>
      <c r="D34">
        <f ca="1">IF(B34="",NA(),IFERROR(INDEX('Macro Data Input'!$B$4:$I$41,$A34,D$6),NA()))</f>
        <v>4359.9732159000005</v>
      </c>
      <c r="E34">
        <f ca="1">IF(B34="",NA(),IFERROR(INDEX('Macro Data Input'!$B$4:$I$41,$A34,E$6),NA()))</f>
        <v>4133.79469109</v>
      </c>
      <c r="F34">
        <f ca="1">IF(B34="",NA(),IFERROR(INDEX('Macro Data Input'!$B$4:$I$41,$A34,F$6),NA()))</f>
        <v>4494.3413194665327</v>
      </c>
      <c r="G34">
        <f ca="1">IF(B34="",NA(),IFERROR(INDEX('Macro Data Input'!$B$4:$I$43,$A34,G$6),NA()))</f>
        <v>4943.8071472293632</v>
      </c>
    </row>
    <row r="35" spans="1:7" ht="19.5" customHeight="1" x14ac:dyDescent="0.3">
      <c r="A35">
        <f>ROWS($B$15:B35)</f>
        <v>21</v>
      </c>
      <c r="B35" t="str">
        <f>IF('Macro Data Input'!B24=0,"",'Macro Data Input'!B24)</f>
        <v>არაპირდაპირი გადასახადები</v>
      </c>
      <c r="C35" t="e">
        <f ca="1">IF(B35="",NA(),IFERROR(INDEX('Macro Data Input'!$B$4:$I$41,$A35,C$6),NA()))</f>
        <v>#N/A</v>
      </c>
      <c r="D35">
        <f ca="1">IF(B35="",NA(),IFERROR(INDEX('Macro Data Input'!$B$4:$I$41,$A35,D$6),NA()))</f>
        <v>4426.0920999800001</v>
      </c>
      <c r="E35">
        <f ca="1">IF(B35="",NA(),IFERROR(INDEX('Macro Data Input'!$B$4:$I$41,$A35,E$6),NA()))</f>
        <v>5645.15363824</v>
      </c>
      <c r="F35">
        <f ca="1">IF(B35="",NA(),IFERROR(INDEX('Macro Data Input'!$B$4:$I$41,$A35,F$6),NA()))</f>
        <v>6080.2196405027335</v>
      </c>
      <c r="G35">
        <f ca="1">IF(B35="",NA(),IFERROR(INDEX('Macro Data Input'!$B$4:$I$41,$A35,G$6),NA()))</f>
        <v>6387.1936765434148</v>
      </c>
    </row>
    <row r="36" spans="1:7" x14ac:dyDescent="0.3">
      <c r="A36">
        <f>ROWS($B$15:B36)</f>
        <v>22</v>
      </c>
      <c r="B36" t="str">
        <f>IF('Macro Data Input'!B25=0,"",'Macro Data Input'!B25)</f>
        <v>ხარჯები და არაფინანსური აქტივების ზრდა</v>
      </c>
      <c r="C36" t="e">
        <f ca="1">IF(B36="",NA(),IFERROR(INDEX('Macro Data Input'!$B$4:$I$41,$A36,C$6),NA()))</f>
        <v>#N/A</v>
      </c>
      <c r="D36">
        <f ca="1">IF(B36="",NA(),IFERROR(INDEX('Macro Data Input'!$B$4:$I$41,$A36,D$6),NA()))</f>
        <v>10553.501685065999</v>
      </c>
      <c r="E36">
        <f ca="1">IF(B36="",NA(),IFERROR(INDEX('Macro Data Input'!$B$4:$I$41,$A36,E$6),NA()))</f>
        <v>11508.263832029999</v>
      </c>
      <c r="F36">
        <f ca="1">IF(B36="",NA(),IFERROR(INDEX('Macro Data Input'!$B$4:$I$41,$A36,F$6),NA()))</f>
        <v>12180</v>
      </c>
      <c r="G36">
        <f ca="1">IF(B36="",NA(),IFERROR(INDEX('Macro Data Input'!$B$4:$I$41,$A36,G$6),NA()))</f>
        <v>13295</v>
      </c>
    </row>
    <row r="37" spans="1:7" x14ac:dyDescent="0.3">
      <c r="A37">
        <f>ROWS($B$15:B37)</f>
        <v>23</v>
      </c>
      <c r="B37" t="str">
        <f>IF('Macro Data Input'!B26=0,"",'Macro Data Input'!B26)</f>
        <v>მიმდინარე ხარჯები</v>
      </c>
      <c r="C37" t="e">
        <f ca="1">IF(B37="",NA(),IFERROR(INDEX('Macro Data Input'!$B$4:$I$41,$A37,C$6),NA()))</f>
        <v>#N/A</v>
      </c>
      <c r="D37">
        <f ca="1">IF(B37="",NA(),IFERROR(INDEX('Macro Data Input'!$B$4:$I$41,$A37,D$6),NA()))</f>
        <v>8824.5265321959996</v>
      </c>
      <c r="E37">
        <f ca="1">IF(B37="",NA(),IFERROR(INDEX('Macro Data Input'!$B$4:$I$41,$A37,E$6),NA()))</f>
        <v>9194.3377192900007</v>
      </c>
      <c r="F37">
        <f ca="1">IF(B37="",NA(),IFERROR(INDEX('Macro Data Input'!$B$4:$I$41,$A37,F$6),NA()))</f>
        <v>9590</v>
      </c>
      <c r="G37">
        <f ca="1">IF(B37="",NA(),IFERROR(INDEX('Macro Data Input'!$B$4:$I$41,$A37,G$6),NA()))</f>
        <v>10095</v>
      </c>
    </row>
    <row r="38" spans="1:7" x14ac:dyDescent="0.3">
      <c r="A38">
        <f>ROWS($B$15:B38)</f>
        <v>24</v>
      </c>
      <c r="B38" t="str">
        <f>IF('Macro Data Input'!B27=0,"",'Macro Data Input'!B27)</f>
        <v>კაპიტალური ხარჯები</v>
      </c>
      <c r="C38" t="e">
        <f ca="1">IF(B38="",NA(),IFERROR(INDEX('Macro Data Input'!$B$4:$I$41,$A38,C$6),NA()))</f>
        <v>#N/A</v>
      </c>
      <c r="D38">
        <f ca="1">IF(B38="",NA(),IFERROR(INDEX('Macro Data Input'!$B$4:$I$41,$A38,D$6),NA()))</f>
        <v>1728.9751528699999</v>
      </c>
      <c r="E38">
        <f ca="1">IF(B38="",NA(),IFERROR(INDEX('Macro Data Input'!$B$4:$I$41,$A38,E$6),NA()))</f>
        <v>2313.9261127399996</v>
      </c>
      <c r="F38">
        <f ca="1">IF(B38="",NA(),IFERROR(INDEX('Macro Data Input'!$B$4:$I$41,$A38,F$6),NA()))</f>
        <v>2590</v>
      </c>
      <c r="G38">
        <f ca="1">IF(B38="",NA(),IFERROR(INDEX('Macro Data Input'!$B$4:$I$43,$A38,G$6),NA()))</f>
        <v>3200</v>
      </c>
    </row>
    <row r="39" spans="1:7" x14ac:dyDescent="0.3">
      <c r="A39">
        <f>ROWS($B$15:B39)</f>
        <v>25</v>
      </c>
      <c r="B39" t="str">
        <f>IF('Macro Data Input'!B28=0,"",'Macro Data Input'!B28)</f>
        <v>საოპერაციო სალდო (% მშპ-თან)</v>
      </c>
      <c r="C39" t="e">
        <f ca="1">IF(B39="",NA(),IFERROR(INDEX('Macro Data Input'!$B$4:$I$41,$A39,C$6),NA()))</f>
        <v>#N/A</v>
      </c>
      <c r="D39">
        <f ca="1">IF(B39="",NA(),IFERROR(INDEX('Macro Data Input'!$B$4:$I$41,$A39,D$6),NA()))</f>
        <v>2.500790325125523E-2</v>
      </c>
      <c r="E39">
        <f ca="1">IF(B39="",NA(),IFERROR(INDEX('Macro Data Input'!$B$4:$I$41,$A39,E$6),NA()))</f>
        <v>4.5392628494904282E-2</v>
      </c>
      <c r="F39">
        <f ca="1">IF(B39="",NA(),IFERROR(INDEX('Macro Data Input'!$B$4:$I$41,$A39,F$6),NA()))</f>
        <v>5.433887125132382E-2</v>
      </c>
      <c r="G39">
        <f ca="1">IF(B39="",NA(),IFERROR(INDEX('Macro Data Input'!$B$4:$I$41,$A39,G$6),NA()))</f>
        <v>5.3809574401708297E-2</v>
      </c>
    </row>
    <row r="40" spans="1:7" x14ac:dyDescent="0.3">
      <c r="A40">
        <f>ROWS($B$15:B40)</f>
        <v>26</v>
      </c>
      <c r="B40" t="str">
        <f>IF('Macro Data Input'!B29=0,"",'Macro Data Input'!B29)</f>
        <v>მთლიანი სალდო (% მშპ-თან)</v>
      </c>
      <c r="C40" t="e">
        <f ca="1">IF(B40="",NA(),IFERROR(INDEX('Macro Data Input'!$B$4:$I$41,$A40,C$6),NA()))</f>
        <v>#N/A</v>
      </c>
      <c r="D40">
        <f ca="1">IF(B40="",NA(),IFERROR(INDEX('Macro Data Input'!$B$4:$I$41,$A40,D$6),NA()))</f>
        <v>-1.501115910045942E-2</v>
      </c>
      <c r="E40">
        <f ca="1">IF(B40="",NA(),IFERROR(INDEX('Macro Data Input'!$B$4:$I$41,$A40,E$6),NA()))</f>
        <v>-9.4009112435889056E-3</v>
      </c>
      <c r="F40">
        <f ca="1">IF(B40="",NA(),IFERROR(INDEX('Macro Data Input'!$B$4:$I$41,$A40,F$6),NA()))</f>
        <v>-4.368234703450124E-3</v>
      </c>
      <c r="G40">
        <f ca="1">IF(B40="",NA(),IFERROR(INDEX('Macro Data Input'!$B$4:$I$41,$A40,G$6),NA()))</f>
        <v>-1.3382825569212446E-2</v>
      </c>
    </row>
    <row r="41" spans="1:7" x14ac:dyDescent="0.3">
      <c r="A41">
        <f>ROWS($B$15:B41)</f>
        <v>27</v>
      </c>
      <c r="B41" t="str">
        <f>IF('Macro Data Input'!B30=0,"",'Macro Data Input'!B30)</f>
        <v>ფისკალური ბალანსი (% მშპ-თან)</v>
      </c>
      <c r="C41" t="e">
        <f ca="1">IF(B41="",NA(),IFERROR(INDEX('Macro Data Input'!$B$4:$I$41,$A41,C$6),NA()))</f>
        <v>#N/A</v>
      </c>
      <c r="D41">
        <f ca="1">IF(B41="",NA(),IFERROR(INDEX('Macro Data Input'!$B$4:$I$41,$A41,D$6),NA()))</f>
        <v>-4.0577822990817823E-2</v>
      </c>
      <c r="E41">
        <f ca="1">IF(B41="",NA(),IFERROR(INDEX('Macro Data Input'!$B$4:$I$41,$A41,E$6),NA()))</f>
        <v>-3.9390335397411533E-2</v>
      </c>
      <c r="F41">
        <f ca="1">IF(B41="",NA(),IFERROR(INDEX('Macro Data Input'!$B$4:$I$41,$A41,F$6),NA()))</f>
        <v>-2.3520225006728835E-2</v>
      </c>
      <c r="G41">
        <f ca="1">IF(B41="",NA(),IFERROR(INDEX('Macro Data Input'!$B$4:$I$41,$A41,G$6),NA()))</f>
        <v>-2.5569682426683366E-2</v>
      </c>
    </row>
    <row r="42" spans="1:7" x14ac:dyDescent="0.3">
      <c r="A42">
        <f>ROWS($B$15:B42)</f>
        <v>28</v>
      </c>
      <c r="B42" t="str">
        <f>IF('Macro Data Input'!B31=0,"",'Macro Data Input'!B31)</f>
        <v>სახელმწიფო ვალი (% მშპ-თან)</v>
      </c>
      <c r="C42" t="e">
        <f ca="1">IF(B42="",NA(),IFERROR(INDEX('Macro Data Input'!$B$4:$I$41,$A42,C$6),NA()))</f>
        <v>#N/A</v>
      </c>
      <c r="D42">
        <f ca="1">IF(B42="",NA(),IFERROR(INDEX('Macro Data Input'!$B$4:$I$41,$A42,D$6),NA()))</f>
        <v>0.44441782629053683</v>
      </c>
      <c r="E42">
        <f ca="1">IF(B42="",NA(),IFERROR(INDEX('Macro Data Input'!$B$4:$I$41,$A42,E$6),NA()))</f>
        <v>0.43989372119124737</v>
      </c>
      <c r="F42">
        <f ca="1">IF(B42="",NA(),IFERROR(INDEX('Macro Data Input'!$B$4:$I$41,$A42,F$6),NA()))</f>
        <v>0.42463081308903183</v>
      </c>
      <c r="G42">
        <f ca="1">IF(B42="",NA(),IFERROR(INDEX('Macro Data Input'!$B$4:$I$41,$A42,G$6),NA()))</f>
        <v>0.41343111571202479</v>
      </c>
    </row>
    <row r="43" spans="1:7" x14ac:dyDescent="0.3">
      <c r="A43">
        <f>ROWS($B$15:B43)</f>
        <v>29</v>
      </c>
      <c r="B43" t="str">
        <f>IF('Macro Data Input'!B32=0,"",'Macro Data Input'!B32)</f>
        <v>საგარეო (% მშპ-თან)</v>
      </c>
      <c r="C43" t="e">
        <f ca="1">IF(B43="",NA(),IFERROR(INDEX('Macro Data Input'!$B$4:$I$41,$A43,C$6),NA()))</f>
        <v>#N/A</v>
      </c>
      <c r="D43">
        <f ca="1">IF(B43="",NA(),IFERROR(INDEX('Macro Data Input'!$B$4:$I$41,$A43,D$6),NA()))</f>
        <v>0.3512413579038387</v>
      </c>
      <c r="E43">
        <f ca="1">IF(B43="",NA(),IFERROR(INDEX('Macro Data Input'!$B$4:$I$41,$A43,E$6),NA()))</f>
        <v>0.34696538126002896</v>
      </c>
      <c r="F43">
        <f ca="1">IF(B43="",NA(),IFERROR(INDEX('Macro Data Input'!$B$4:$I$41,$A43,F$6),NA()))</f>
        <v>0.33079087266083129</v>
      </c>
      <c r="G43">
        <f ca="1">IF(B43="",NA(),IFERROR(INDEX('Macro Data Input'!$B$4:$I$41,$A43,G$6),NA()))</f>
        <v>0.31988436330806513</v>
      </c>
    </row>
    <row r="44" spans="1:7" x14ac:dyDescent="0.3">
      <c r="A44">
        <f>ROWS($B$15:B44)</f>
        <v>30</v>
      </c>
      <c r="B44" t="str">
        <f>IF('Macro Data Input'!B33=0,"",'Macro Data Input'!B33)</f>
        <v>საშინაო (% მშპ-თან)</v>
      </c>
      <c r="C44" t="e">
        <f ca="1">IF(B44="",NA(),IFERROR(INDEX('Macro Data Input'!$B$4:$I$41,$A44,C$6),NA()))</f>
        <v>#N/A</v>
      </c>
      <c r="D44">
        <f ca="1">IF(B44="",NA(),IFERROR(INDEX('Macro Data Input'!$B$4:$I$41,$A44,D$6),NA()))</f>
        <v>9.3176468386698102E-2</v>
      </c>
      <c r="E44">
        <f ca="1">IF(B44="",NA(),IFERROR(INDEX('Macro Data Input'!$B$4:$I$41,$A44,E$6),NA()))</f>
        <v>9.2928339931218421E-2</v>
      </c>
      <c r="F44">
        <f ca="1">IF(B44="",NA(),IFERROR(INDEX('Macro Data Input'!$B$4:$I$41,$A44,F$6),NA()))</f>
        <v>9.3839940428200569E-2</v>
      </c>
      <c r="G44">
        <f ca="1">IF(B44="",NA(),IFERROR(INDEX('Macro Data Input'!$B$4:$I$41,$A44,G$6),NA()))</f>
        <v>9.3546752403959654E-2</v>
      </c>
    </row>
    <row r="45" spans="1:7" x14ac:dyDescent="0.3">
      <c r="A45">
        <f>ROWS($B$15:B45)</f>
        <v>31</v>
      </c>
      <c r="B45" t="str">
        <f>IF('Macro Data Input'!B34=0,"",'Macro Data Input'!B34)</f>
        <v>წმინდა უცხოური აქტივები</v>
      </c>
      <c r="C45" t="e">
        <f ca="1">IF(B45="",NA(),IFERROR(INDEX('Macro Data Input'!$B$4:$I$41,$A45,C$6),NA()))</f>
        <v>#N/A</v>
      </c>
      <c r="D45">
        <f ca="1">IF(B45="",NA(),IFERROR(INDEX('Macro Data Input'!$B$4:$I$41,$A45,D$6),NA()))</f>
        <v>1987.2944540189146</v>
      </c>
      <c r="E45">
        <f ca="1">IF(B45="",NA(),IFERROR(INDEX('Macro Data Input'!$B$4:$I$41,$A45,E$6),NA()))</f>
        <v>1970.438810285832</v>
      </c>
      <c r="F45">
        <f ca="1">IF(B45="",NA(),IFERROR(INDEX('Macro Data Input'!$B$4:$I$41,$A45,F$6),NA()))</f>
        <v>2056.8200002983626</v>
      </c>
      <c r="G45">
        <f ca="1">IF(B45="",NA(),IFERROR(INDEX('Macro Data Input'!$B$4:$I$41,$A45,G$6),NA()))</f>
        <v>2135.6700003098008</v>
      </c>
    </row>
    <row r="46" spans="1:7" x14ac:dyDescent="0.3">
      <c r="A46">
        <f>ROWS($B$15:B46)</f>
        <v>32</v>
      </c>
      <c r="B46" t="str">
        <f>IF('Macro Data Input'!B35=0,"",'Macro Data Input'!B35)</f>
        <v>წმინდა საშინაო აქტივები</v>
      </c>
      <c r="C46" t="e">
        <f ca="1">IF(B46="",NA(),IFERROR(INDEX('Macro Data Input'!$B$4:$I$41,$A46,C$6),NA()))</f>
        <v>#N/A</v>
      </c>
      <c r="D46">
        <f ca="1">IF(B46="",NA(),IFERROR(INDEX('Macro Data Input'!$B$4:$I$41,$A46,D$6),NA()))</f>
        <v>14057.905555493609</v>
      </c>
      <c r="E46">
        <f ca="1">IF(B46="",NA(),IFERROR(INDEX('Macro Data Input'!$B$4:$I$41,$A46,E$6),NA()))</f>
        <v>16445.839234055926</v>
      </c>
      <c r="F46">
        <f ca="1">IF(B46="",NA(),IFERROR(INDEX('Macro Data Input'!$B$4:$I$41,$A46,F$6),NA()))</f>
        <v>18731.314361350738</v>
      </c>
      <c r="G46">
        <f ca="1">IF(B46="",NA(),IFERROR(INDEX('Macro Data Input'!$B$4:$I$41,$A46,G$6),NA()))</f>
        <v>21366.44018649021</v>
      </c>
    </row>
    <row r="47" spans="1:7" x14ac:dyDescent="0.3">
      <c r="A47">
        <f>ROWS($B$15:B47)</f>
        <v>33</v>
      </c>
      <c r="B47" t="str">
        <f>IF('Macro Data Input'!B36=0,"",'Macro Data Input'!B36)</f>
        <v>ფართო ფული M3</v>
      </c>
      <c r="C47" t="e">
        <f ca="1">IF(B47="",NA(),IFERROR(INDEX('Macro Data Input'!$B$4:$I$41,$A47,C$6),NA()))</f>
        <v>#N/A</v>
      </c>
      <c r="D47">
        <f ca="1">IF(B47="",NA(),IFERROR(INDEX('Macro Data Input'!$B$4:$I$41,$A47,D$6),NA()))</f>
        <v>16045.200009512326</v>
      </c>
      <c r="E47">
        <f ca="1">IF(B47="",NA(),IFERROR(INDEX('Macro Data Input'!$B$4:$I$41,$A47,E$6),NA()))</f>
        <v>18416.278044341758</v>
      </c>
      <c r="F47">
        <f ca="1">IF(B47="",NA(),IFERROR(INDEX('Macro Data Input'!$B$4:$I$41,$A47,F$6),NA()))</f>
        <v>20788.134361649099</v>
      </c>
      <c r="G47">
        <f ca="1">IF(B47="",NA(),IFERROR(INDEX('Macro Data Input'!$B$4:$I$41,$A47,G$6),NA()))</f>
        <v>23502.110186800011</v>
      </c>
    </row>
    <row r="48" spans="1:7" x14ac:dyDescent="0.3">
      <c r="A48">
        <f>ROWS($B$15:B48)</f>
        <v>34</v>
      </c>
      <c r="B48" t="str">
        <f>IF('Macro Data Input'!B37=0,"",'Macro Data Input'!B37)</f>
        <v xml:space="preserve">ფართო ფული M2 </v>
      </c>
      <c r="C48" t="e">
        <f ca="1">IF(B48="",NA(),IFERROR(INDEX('Macro Data Input'!$B$4:$I$41,$A48,C$6),NA()))</f>
        <v>#N/A</v>
      </c>
      <c r="D48">
        <f ca="1">IF(B48="",NA(),IFERROR(INDEX('Macro Data Input'!$B$4:$I$41,$A48,D$6),NA()))</f>
        <v>6505.4583507774969</v>
      </c>
      <c r="E48">
        <f ca="1">IF(B48="",NA(),IFERROR(INDEX('Macro Data Input'!$B$4:$I$41,$A48,E$6),NA()))</f>
        <v>8418.1478333333034</v>
      </c>
      <c r="F48">
        <f ca="1">IF(B48="",NA(),IFERROR(INDEX('Macro Data Input'!$B$4:$I$41,$A48,F$6),NA()))</f>
        <v>10006.581964739742</v>
      </c>
      <c r="G48">
        <f ca="1">IF(B48="",NA(),IFERROR(INDEX('Macro Data Input'!$B$4:$I$41,$A48,G$6),NA()))</f>
        <v>11471.098500358961</v>
      </c>
    </row>
    <row r="49" spans="1:7" x14ac:dyDescent="0.3">
      <c r="A49">
        <f>ROWS($B$15:B49)</f>
        <v>35</v>
      </c>
      <c r="B49" t="str">
        <f>IF('Macro Data Input'!B38=0,"",'Macro Data Input'!B38)</f>
        <v>კერძო სექტორის დაკრედიტება</v>
      </c>
      <c r="C49" t="e">
        <f ca="1">IF(B49="",NA(),IFERROR(INDEX('Macro Data Input'!$B$4:$I$41,$A49,C$6),NA()))</f>
        <v>#N/A</v>
      </c>
      <c r="D49">
        <f ca="1">IF(B49="",NA(),IFERROR(INDEX('Macro Data Input'!$B$4:$I$41,$A49,D$6),NA()))</f>
        <v>19360.489032709836</v>
      </c>
      <c r="E49">
        <f ca="1">IF(B49="",NA(),IFERROR(INDEX('Macro Data Input'!$B$4:$I$41,$A49,E$6),NA()))</f>
        <v>22352.320507788001</v>
      </c>
      <c r="F49">
        <f ca="1">IF(B49="",NA(),IFERROR(INDEX('Macro Data Input'!$B$4:$I$41,$A49,F$6),NA()))</f>
        <v>24831.648093305805</v>
      </c>
      <c r="G49">
        <f ca="1">IF(B49="",NA(),IFERROR(INDEX('Macro Data Input'!$B$4:$I$41,$A49,G$6),NA()))</f>
        <v>28173.605465204029</v>
      </c>
    </row>
    <row r="50" spans="1:7" x14ac:dyDescent="0.3">
      <c r="A50">
        <f>ROWS($B$15:B50)</f>
        <v>36</v>
      </c>
      <c r="B50" t="str">
        <f>IF('Macro Data Input'!B39=0,"",'Macro Data Input'!B39)</f>
        <v>მიმდინარე ანგარიშის ბალანსი (% მშპ-თან)</v>
      </c>
      <c r="C50" t="e">
        <f ca="1">IF(B50="",NA(),IFERROR(INDEX('Macro Data Input'!$B$4:$I$41,$A50,C$6),NA()))</f>
        <v>#N/A</v>
      </c>
      <c r="D50">
        <f ca="1">IF(B50="",NA(),IFERROR(INDEX('Macro Data Input'!$B$4:$I$41,$A50,D$6),NA()))</f>
        <v>-0.12849061474083537</v>
      </c>
      <c r="E50">
        <f ca="1">IF(B50="",NA(),IFERROR(INDEX('Macro Data Input'!$B$4:$I$41,$A50,E$6),NA()))</f>
        <v>-8.682023508705336E-2</v>
      </c>
      <c r="F50">
        <f ca="1">IF(B50="",NA(),IFERROR(INDEX('Macro Data Input'!$B$4:$I$41,$A50,F$6),NA()))</f>
        <v>-8.0201517441102724E-2</v>
      </c>
      <c r="G50">
        <f ca="1">IF(B50="",NA(),IFERROR(INDEX('Macro Data Input'!$B$4:$I$41,$A50,G$6),NA()))</f>
        <v>-7.6246150572386692E-2</v>
      </c>
    </row>
    <row r="51" spans="1:7" x14ac:dyDescent="0.3">
      <c r="A51">
        <f>ROWS($B$15:B51)</f>
        <v>37</v>
      </c>
      <c r="B51" t="str">
        <f>IF('Macro Data Input'!B40=0,"",'Macro Data Input'!B40)</f>
        <v>სავაჭრო ბალანსი (% მშპ-თან)</v>
      </c>
      <c r="C51" t="e">
        <f ca="1">IF(B51="",NA(),IFERROR(INDEX('Macro Data Input'!$B$4:$I$41,$A51,C$6),NA()))</f>
        <v>#N/A</v>
      </c>
      <c r="D51">
        <f ca="1">IF(B51="",NA(),IFERROR(INDEX('Macro Data Input'!$B$4:$I$41,$A51,D$6),NA()))</f>
        <v>-0.15622777516589123</v>
      </c>
      <c r="E51">
        <f ca="1">IF(B51="",NA(),IFERROR(INDEX('Macro Data Input'!$B$4:$I$41,$A51,E$6),NA()))</f>
        <v>-0.11667003556385669</v>
      </c>
      <c r="F51">
        <f ca="1">IF(B51="",NA(),IFERROR(INDEX('Macro Data Input'!$B$4:$I$41,$A51,F$6),NA()))</f>
        <v>-0.11032967202348996</v>
      </c>
      <c r="G51">
        <f ca="1">IF(B51="",NA(),IFERROR(INDEX('Macro Data Input'!$B$4:$I$41,$A51,G$6),NA()))</f>
        <v>-0.10180875815335441</v>
      </c>
    </row>
    <row r="52" spans="1:7" x14ac:dyDescent="0.3">
      <c r="A52">
        <f>ROWS($B$15:B52)</f>
        <v>38</v>
      </c>
      <c r="B52" t="str">
        <f>IF('Macro Data Input'!B41=0,"",'Macro Data Input'!B41)</f>
        <v>წმინდა კერძო კაპიტალური და ფინანსური ნაკადები (მლნ აშშ დოლარი)</v>
      </c>
      <c r="C52" t="e">
        <f ca="1">IF(B52="",NA(),IFERROR(INDEX('Macro Data Input'!$B$4:$I$43,$A52,C$6),NA()))</f>
        <v>#N/A</v>
      </c>
      <c r="D52">
        <f ca="1">IF(B52="",NA(),IFERROR(INDEX('Macro Data Input'!$B$4:$I$41,$A52,D$6),NA()))</f>
        <v>1379.4378536241775</v>
      </c>
      <c r="E52">
        <f ca="1">IF(B52="",NA(),IFERROR(INDEX('Macro Data Input'!$B$4:$I$41,$A52,E$6),NA()))</f>
        <v>961.42931483666734</v>
      </c>
      <c r="F52">
        <f ca="1">IF(B52="",NA(),IFERROR(INDEX('Macro Data Input'!$B$4:$I$41,$A52,F$6),NA()))</f>
        <v>1349.1292566339</v>
      </c>
      <c r="G52">
        <f ca="1">IF(B52="",NA(),IFERROR(INDEX('Macro Data Input'!$B$4:$I$41,$A52,G$6),NA()))</f>
        <v>1416.6467562638754</v>
      </c>
    </row>
    <row r="53" spans="1:7" x14ac:dyDescent="0.3">
      <c r="A53">
        <f>ROWS($B$15:B53)</f>
        <v>39</v>
      </c>
      <c r="B53" t="str">
        <f>IF('Macro Data Input'!B42=0,"",'Macro Data Input'!B42)</f>
        <v>ოფიციალური საერთაშორისო რეზერვები (მლნ აშშ დოლარი)</v>
      </c>
      <c r="C53" t="e">
        <f ca="1">IF(B53="",NA(),IFERROR(INDEX('Macro Data Input'!$B$4:$I$43,$A53,C$6),NA()))</f>
        <v>#N/A</v>
      </c>
      <c r="D53" t="e">
        <f ca="1">IF(C53="",NA(),IFERROR(INDEX('Macro Data Input'!$B$4:$I$43,$A53,D$6),NA()))</f>
        <v>#N/A</v>
      </c>
      <c r="E53">
        <f ca="1">IF(A53="",NA(),IFERROR(INDEX('Macro Data Input'!$B$4:$I$43,$A53,E$6),NA()))</f>
        <v>3039.0113485516908</v>
      </c>
      <c r="F53">
        <f ca="1">IF(A53="",NA(),IFERROR(INDEX('Macro Data Input'!$B$4:$I$43,$A53,F$6),NA()))</f>
        <v>3427.1955909806329</v>
      </c>
      <c r="G53">
        <f ca="1">IF(B53="",NA(),IFERROR(INDEX('Macro Data Input'!$B$4:$I$43,$A53,G$6),NA()))</f>
        <v>3783.9840479983027</v>
      </c>
    </row>
    <row r="54" spans="1:7" x14ac:dyDescent="0.3">
      <c r="A54">
        <f>ROWS($B$15:B54)</f>
        <v>40</v>
      </c>
      <c r="B54" t="str">
        <f>IF('Macro Data Input'!B43=0,"",'Macro Data Input'!B43)</f>
        <v>იმპორტის ჯერადი</v>
      </c>
      <c r="C54" t="e">
        <f ca="1">IF(B54="",NA(),IFERROR(INDEX('Macro Data Input'!$B$4:$I$43,$A54,C$6),NA()))</f>
        <v>#N/A</v>
      </c>
      <c r="D54" t="e">
        <f ca="1">IF(C54="",NA(),IFERROR(INDEX('Macro Data Input'!$B$4:$I$43,$A54,D$6),NA()))</f>
        <v>#N/A</v>
      </c>
      <c r="E54">
        <f ca="1">IF(A54="",NA(),IFERROR(INDEX('Macro Data Input'!$B$4:$I$43,$A54,E$6),NA()))</f>
        <v>3.8682960549547203</v>
      </c>
      <c r="F54">
        <f ca="1">IF(A54="",NA(),IFERROR(INDEX('Macro Data Input'!$B$4:$I$43,$A54,F$6),NA()))</f>
        <v>3.957690721654898</v>
      </c>
      <c r="G54">
        <f ca="1">IF(B54="",NA(),IFERROR(INDEX('Macro Data Input'!$B$4:$I$43,$A54,G$6),NA()))</f>
        <v>3.9576907216548975</v>
      </c>
    </row>
  </sheetData>
  <sheetProtection algorithmName="SHA-512" hashValue="ytczyuo0k6d+Qka4kHAJq44pCyROjL89wj1fqRrwUw6iUL7jbienIaLCQxLZvlLko0enYTT018fwJfGzw7WZSg==" saltValue="g6E4/LtpoDCpDwOj0M/9Fg==" spinCount="100000" sheet="1" formatCells="0" formatColumns="0" formatRows="0" insertColumns="0" insertRows="0" deleteColumns="0" deleteRow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მაკროეკონომიკური პროგნოზები</vt:lpstr>
      <vt:lpstr>Macro Data Input</vt:lpstr>
      <vt:lpstr>Calculations</vt:lpstr>
      <vt:lpstr>'მაკროეკონომიკური პროგნოზები'!Print_Area</vt:lpstr>
      <vt:lpstr>SelectedYear</vt:lpstr>
      <vt:lpstr>Years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tamta sopromadze</dc:creator>
  <cp:keywords/>
  <dc:description/>
  <cp:lastModifiedBy>Vakhtang Chalapeikrishvili</cp:lastModifiedBy>
  <cp:revision/>
  <dcterms:created xsi:type="dcterms:W3CDTF">2013-12-05T14:43:36Z</dcterms:created>
  <dcterms:modified xsi:type="dcterms:W3CDTF">2018-06-07T06:57:56Z</dcterms:modified>
  <cp:category/>
  <cp:contentStatus/>
</cp:coreProperties>
</file>